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U:\FIA TEAM\CALLS\Calls and contracts\2025\A3 - 001 - BCS grant - MiniCall Spain\02_Documents_sent_for_publication\"/>
    </mc:Choice>
  </mc:AlternateContent>
  <xr:revisionPtr revIDLastSave="0" documentId="8_{FAB0175B-3CDD-4EA6-A91B-ABEAE1E2586A}" xr6:coauthVersionLast="47" xr6:coauthVersionMax="47" xr10:uidLastSave="{00000000-0000-0000-0000-000000000000}"/>
  <workbookProtection workbookAlgorithmName="SHA-512" workbookHashValue="iOykI8vpUO4t6BI8LX0Dq44UbeWeMvpd1P83uSlsgtlfm+eyE26yGLHl0odpW43kPjtx5vf6BsjTgkX855vLGA==" workbookSaltValue="746FbVdO7sBVnAUR2cYdpQ==" workbookSpinCount="100000" lockStructure="1"/>
  <bookViews>
    <workbookView xWindow="57480" yWindow="-120" windowWidth="29040" windowHeight="15840" xr2:uid="{00000000-000D-0000-FFFF-FFFF00000000}"/>
  </bookViews>
  <sheets>
    <sheet name="Consumer Survey" sheetId="11" r:id="rId1"/>
    <sheet name="evaluation_internal" sheetId="13" state="hidden" r:id="rId2"/>
    <sheet name="evaluation_for_external" sheetId="14" state="hidden" r:id="rId3"/>
  </sheets>
  <definedNames>
    <definedName name="_xlnm.Print_Area" localSheetId="0">'Consumer Survey'!$A$2:$B$9,'Consumer Survey'!$A$11:$B$27,'Consumer Survey'!$A$29:$B$49,'Consumer Survey'!$A$51:$B$75,'Consumer Survey'!$A$77:$B$96,'Consumer Survey'!$A$98:$B$107,'Consumer Survey'!$A$109:$B$129,'Consumer Survey'!$A$131:$B$137,'Consumer Survey'!$A$139:$B$143,'Consumer Survey'!$A$145:$B$147</definedName>
    <definedName name="_xlnm.Print_Area" localSheetId="2">evaluation_for_external!$A$1:$B$51</definedName>
    <definedName name="_xlnm.Print_Area" localSheetId="1">evaluation_internal!$A$1:$F$93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1" l="1"/>
  <c r="B15" i="13" s="1"/>
  <c r="D30" i="11"/>
  <c r="A12" i="14" s="1"/>
  <c r="B74" i="13"/>
  <c r="I74" i="13" s="1"/>
  <c r="I94" i="13" s="1"/>
  <c r="B48" i="14" s="1"/>
  <c r="Q89" i="11"/>
  <c r="O90" i="11"/>
  <c r="D86" i="11"/>
  <c r="P89" i="11"/>
  <c r="O89" i="11"/>
  <c r="P88" i="11"/>
  <c r="O88" i="11"/>
  <c r="P87" i="11"/>
  <c r="O87" i="11"/>
  <c r="O86" i="11"/>
  <c r="P86" i="11"/>
  <c r="P85" i="11"/>
  <c r="O85" i="11"/>
  <c r="A65" i="13"/>
  <c r="E141" i="11"/>
  <c r="B34" i="13"/>
  <c r="D141" i="11"/>
  <c r="A34" i="13"/>
  <c r="D34" i="13"/>
  <c r="I34" i="13"/>
  <c r="A141" i="11"/>
  <c r="E12" i="11"/>
  <c r="B7" i="14"/>
  <c r="D12" i="11"/>
  <c r="A10" i="13"/>
  <c r="B65" i="13"/>
  <c r="I65" i="13"/>
  <c r="B43" i="14"/>
  <c r="E120" i="11"/>
  <c r="B24" i="14"/>
  <c r="E116" i="11"/>
  <c r="B26" i="13"/>
  <c r="E110" i="11"/>
  <c r="B25" i="13"/>
  <c r="E16" i="11"/>
  <c r="B10" i="14"/>
  <c r="E15" i="11"/>
  <c r="B11" i="13"/>
  <c r="H74" i="13"/>
  <c r="H94" i="13" s="1"/>
  <c r="A48" i="14" s="1"/>
  <c r="B46" i="14" s="1"/>
  <c r="H81" i="13"/>
  <c r="H92" i="13"/>
  <c r="H91" i="13"/>
  <c r="H90" i="13"/>
  <c r="H89" i="13"/>
  <c r="H88" i="13"/>
  <c r="H87" i="13"/>
  <c r="H86" i="13"/>
  <c r="H85" i="13"/>
  <c r="H84" i="13"/>
  <c r="H83" i="13"/>
  <c r="H82" i="13"/>
  <c r="A93" i="13"/>
  <c r="H93" i="13"/>
  <c r="A77" i="13"/>
  <c r="H77" i="13"/>
  <c r="H65" i="13"/>
  <c r="A43" i="14"/>
  <c r="B41" i="14"/>
  <c r="A54" i="13"/>
  <c r="B54" i="13"/>
  <c r="I54" i="13"/>
  <c r="A49" i="13"/>
  <c r="B49" i="13"/>
  <c r="I49" i="13"/>
  <c r="A51" i="13"/>
  <c r="B51" i="13"/>
  <c r="I51" i="13"/>
  <c r="A86" i="11"/>
  <c r="A33" i="14"/>
  <c r="A26" i="14"/>
  <c r="B33" i="14"/>
  <c r="B26" i="14"/>
  <c r="A2" i="14"/>
  <c r="A1" i="14"/>
  <c r="D36" i="13"/>
  <c r="I36" i="13"/>
  <c r="D29" i="13"/>
  <c r="I29" i="13"/>
  <c r="A84" i="11"/>
  <c r="E36" i="13"/>
  <c r="E29" i="13"/>
  <c r="O76" i="11"/>
  <c r="E31" i="13"/>
  <c r="E12" i="13"/>
  <c r="E13" i="13"/>
  <c r="E11" i="13"/>
  <c r="E15" i="13"/>
  <c r="E34" i="13"/>
  <c r="E27" i="13"/>
  <c r="E26" i="13"/>
  <c r="E25" i="13"/>
  <c r="E23" i="13"/>
  <c r="E22" i="13"/>
  <c r="E20" i="13"/>
  <c r="E18" i="13"/>
  <c r="E32" i="13"/>
  <c r="E16" i="13"/>
  <c r="E10" i="13"/>
  <c r="A1" i="13"/>
  <c r="D120" i="11"/>
  <c r="A24" i="14"/>
  <c r="D110" i="11"/>
  <c r="A22" i="14"/>
  <c r="D116" i="11"/>
  <c r="A26" i="13"/>
  <c r="O101" i="11"/>
  <c r="O100" i="11"/>
  <c r="O99" i="11"/>
  <c r="O71" i="11"/>
  <c r="O73" i="11"/>
  <c r="O2" i="11"/>
  <c r="O57" i="11"/>
  <c r="O55" i="11"/>
  <c r="O72" i="11"/>
  <c r="O70" i="11"/>
  <c r="O68" i="11"/>
  <c r="O66" i="11"/>
  <c r="O64" i="11"/>
  <c r="O62" i="11"/>
  <c r="O60" i="11"/>
  <c r="O58" i="11"/>
  <c r="O56" i="11"/>
  <c r="O69" i="11"/>
  <c r="O67" i="11"/>
  <c r="O65" i="11"/>
  <c r="O63" i="11"/>
  <c r="O61" i="11"/>
  <c r="O59" i="11"/>
  <c r="O46" i="11"/>
  <c r="O38" i="11"/>
  <c r="O39" i="11"/>
  <c r="O40" i="11"/>
  <c r="O41" i="11"/>
  <c r="D35" i="11" s="1"/>
  <c r="A16" i="13" s="1"/>
  <c r="O42" i="11"/>
  <c r="O43" i="11"/>
  <c r="O44" i="11"/>
  <c r="O45" i="11"/>
  <c r="O37" i="11"/>
  <c r="D22" i="11"/>
  <c r="A9" i="14"/>
  <c r="E22" i="11"/>
  <c r="B9" i="14"/>
  <c r="D16" i="11"/>
  <c r="A13" i="13"/>
  <c r="D13" i="13"/>
  <c r="I13" i="13"/>
  <c r="D15" i="11"/>
  <c r="A11" i="13"/>
  <c r="O84" i="11"/>
  <c r="O83" i="11"/>
  <c r="A105" i="11"/>
  <c r="A103" i="11"/>
  <c r="A100" i="11"/>
  <c r="A135" i="11"/>
  <c r="A133" i="11"/>
  <c r="A124" i="11"/>
  <c r="A123" i="11"/>
  <c r="A122" i="11"/>
  <c r="A119" i="11"/>
  <c r="A118" i="11"/>
  <c r="A115" i="11"/>
  <c r="A114" i="11"/>
  <c r="A113" i="11"/>
  <c r="A112" i="11"/>
  <c r="A85" i="11"/>
  <c r="A82" i="11"/>
  <c r="A73" i="11"/>
  <c r="A71" i="11"/>
  <c r="A72" i="11"/>
  <c r="A69" i="11"/>
  <c r="A70" i="11"/>
  <c r="A67" i="11"/>
  <c r="A68" i="11"/>
  <c r="A65" i="11"/>
  <c r="A66" i="11"/>
  <c r="A63" i="11"/>
  <c r="A64" i="11"/>
  <c r="A61" i="11"/>
  <c r="A62" i="11"/>
  <c r="A59" i="11"/>
  <c r="A60" i="11"/>
  <c r="A57" i="11"/>
  <c r="A58" i="11"/>
  <c r="A55" i="11"/>
  <c r="A56" i="11"/>
  <c r="A54" i="11"/>
  <c r="A46" i="11"/>
  <c r="A45" i="11"/>
  <c r="A44" i="11"/>
  <c r="A43" i="11"/>
  <c r="A42" i="11"/>
  <c r="A41" i="11"/>
  <c r="A40" i="11"/>
  <c r="A39" i="11"/>
  <c r="A38" i="11"/>
  <c r="A37" i="11"/>
  <c r="A31" i="11"/>
  <c r="A20" i="11"/>
  <c r="A25" i="11"/>
  <c r="A18" i="11"/>
  <c r="A13" i="11"/>
  <c r="A9" i="11"/>
  <c r="A92" i="11"/>
  <c r="A91" i="11"/>
  <c r="A14" i="11"/>
  <c r="B88" i="11"/>
  <c r="C88" i="11" s="1"/>
  <c r="B87" i="11"/>
  <c r="A126" i="11" s="1"/>
  <c r="A88" i="11"/>
  <c r="A87" i="11"/>
  <c r="B93" i="11"/>
  <c r="A127" i="11" s="1"/>
  <c r="A93" i="11"/>
  <c r="IV72" i="11"/>
  <c r="IU72" i="11"/>
  <c r="IT72" i="11"/>
  <c r="IS72" i="11"/>
  <c r="IR72" i="11"/>
  <c r="IQ72" i="11"/>
  <c r="IP72" i="11"/>
  <c r="IO72" i="11"/>
  <c r="IN72" i="11"/>
  <c r="IM72" i="11"/>
  <c r="IL72" i="11"/>
  <c r="IK72" i="11"/>
  <c r="IJ72" i="11"/>
  <c r="II72" i="11"/>
  <c r="IH72" i="11"/>
  <c r="IG72" i="11"/>
  <c r="IF72" i="11"/>
  <c r="IE72" i="11"/>
  <c r="ID72" i="11"/>
  <c r="IC72" i="11"/>
  <c r="IB72" i="11"/>
  <c r="IA72" i="11"/>
  <c r="HZ72" i="11"/>
  <c r="HY72" i="11"/>
  <c r="HX72" i="11"/>
  <c r="HW72" i="11"/>
  <c r="HV72" i="11"/>
  <c r="HU72" i="11"/>
  <c r="HT72" i="11"/>
  <c r="HS72" i="11"/>
  <c r="HR72" i="11"/>
  <c r="HQ72" i="11"/>
  <c r="HP72" i="11"/>
  <c r="HO72" i="11"/>
  <c r="HN72" i="11"/>
  <c r="HM72" i="11"/>
  <c r="HL72" i="11"/>
  <c r="HK72" i="11"/>
  <c r="HJ72" i="11"/>
  <c r="HI72" i="11"/>
  <c r="HH72" i="11"/>
  <c r="HG72" i="11"/>
  <c r="HF72" i="11"/>
  <c r="HE72" i="11"/>
  <c r="HD72" i="11"/>
  <c r="HC72" i="11"/>
  <c r="HB72" i="11"/>
  <c r="HA72" i="11"/>
  <c r="GZ72" i="11"/>
  <c r="GY72" i="11"/>
  <c r="GX72" i="11"/>
  <c r="GW72" i="11"/>
  <c r="GV72" i="11"/>
  <c r="GU72" i="11"/>
  <c r="GT72" i="11"/>
  <c r="GS72" i="11"/>
  <c r="GR72" i="11"/>
  <c r="GQ72" i="11"/>
  <c r="GP72" i="11"/>
  <c r="GO72" i="11"/>
  <c r="GN72" i="11"/>
  <c r="GM72" i="11"/>
  <c r="GL72" i="11"/>
  <c r="GK72" i="11"/>
  <c r="GJ72" i="11"/>
  <c r="GI72" i="11"/>
  <c r="GH72" i="11"/>
  <c r="GG72" i="11"/>
  <c r="GF72" i="11"/>
  <c r="GE72" i="11"/>
  <c r="GD72" i="11"/>
  <c r="GC72" i="11"/>
  <c r="GB72" i="11"/>
  <c r="GA72" i="11"/>
  <c r="FZ72" i="11"/>
  <c r="FY72" i="11"/>
  <c r="FX72" i="11"/>
  <c r="FW72" i="11"/>
  <c r="FV72" i="11"/>
  <c r="FU72" i="11"/>
  <c r="FT72" i="11"/>
  <c r="FS72" i="11"/>
  <c r="FR72" i="11"/>
  <c r="FQ72" i="11"/>
  <c r="FP72" i="11"/>
  <c r="FO72" i="11"/>
  <c r="FN72" i="11"/>
  <c r="FM72" i="11"/>
  <c r="FL72" i="11"/>
  <c r="FK72" i="11"/>
  <c r="FJ72" i="11"/>
  <c r="FI72" i="11"/>
  <c r="FH72" i="11"/>
  <c r="FG72" i="11"/>
  <c r="FF72" i="11"/>
  <c r="FE72" i="11"/>
  <c r="FD72" i="11"/>
  <c r="FC72" i="11"/>
  <c r="FB72" i="11"/>
  <c r="FA72" i="11"/>
  <c r="EZ72" i="11"/>
  <c r="EY72" i="11"/>
  <c r="EX72" i="11"/>
  <c r="EW72" i="11"/>
  <c r="EV72" i="11"/>
  <c r="EU72" i="11"/>
  <c r="ET72" i="11"/>
  <c r="ES72" i="11"/>
  <c r="ER72" i="11"/>
  <c r="EQ72" i="11"/>
  <c r="EP72" i="11"/>
  <c r="EO72" i="11"/>
  <c r="EN72" i="11"/>
  <c r="EM72" i="11"/>
  <c r="EL72" i="11"/>
  <c r="EK72" i="11"/>
  <c r="EJ72" i="11"/>
  <c r="EI72" i="11"/>
  <c r="EH72" i="11"/>
  <c r="EG72" i="11"/>
  <c r="EF72" i="11"/>
  <c r="EE72" i="11"/>
  <c r="ED72" i="11"/>
  <c r="EC72" i="11"/>
  <c r="EB72" i="11"/>
  <c r="EA72" i="11"/>
  <c r="DZ72" i="11"/>
  <c r="DY72" i="11"/>
  <c r="DX72" i="11"/>
  <c r="DW72" i="11"/>
  <c r="DV72" i="11"/>
  <c r="DU72" i="11"/>
  <c r="DT72" i="11"/>
  <c r="DS72" i="11"/>
  <c r="DR72" i="11"/>
  <c r="DQ72" i="11"/>
  <c r="DP72" i="11"/>
  <c r="DO72" i="11"/>
  <c r="DN72" i="11"/>
  <c r="DM72" i="11"/>
  <c r="DL72" i="11"/>
  <c r="DK72" i="11"/>
  <c r="DJ72" i="11"/>
  <c r="DI72" i="11"/>
  <c r="DH72" i="11"/>
  <c r="DG72" i="11"/>
  <c r="DF72" i="11"/>
  <c r="DE72" i="11"/>
  <c r="DD72" i="11"/>
  <c r="DC72" i="11"/>
  <c r="DB72" i="11"/>
  <c r="DA72" i="11"/>
  <c r="CZ72" i="11"/>
  <c r="CY72" i="11"/>
  <c r="CX72" i="11"/>
  <c r="CW72" i="11"/>
  <c r="CV72" i="11"/>
  <c r="CU72" i="11"/>
  <c r="CT72" i="11"/>
  <c r="CS72" i="11"/>
  <c r="CR72" i="11"/>
  <c r="CQ72" i="11"/>
  <c r="CP72" i="11"/>
  <c r="CO72" i="11"/>
  <c r="CN72" i="11"/>
  <c r="CM72" i="11"/>
  <c r="CL72" i="11"/>
  <c r="CK72" i="11"/>
  <c r="CJ72" i="11"/>
  <c r="CI72" i="11"/>
  <c r="CH72" i="11"/>
  <c r="CG72" i="11"/>
  <c r="CF72" i="11"/>
  <c r="CE72" i="11"/>
  <c r="CD72" i="11"/>
  <c r="CC72" i="11"/>
  <c r="CB72" i="11"/>
  <c r="CA72" i="11"/>
  <c r="BZ72" i="11"/>
  <c r="BY72" i="11"/>
  <c r="BX72" i="11"/>
  <c r="BW72" i="11"/>
  <c r="BV72" i="11"/>
  <c r="BU72" i="11"/>
  <c r="BT72" i="11"/>
  <c r="BS72" i="11"/>
  <c r="BR72" i="11"/>
  <c r="BQ72" i="11"/>
  <c r="BP72" i="11"/>
  <c r="BO72" i="11"/>
  <c r="BN72" i="11"/>
  <c r="BM72" i="11"/>
  <c r="BL72" i="11"/>
  <c r="BK72" i="11"/>
  <c r="BJ72" i="11"/>
  <c r="BI72" i="11"/>
  <c r="BH72" i="11"/>
  <c r="BG72" i="11"/>
  <c r="BF72" i="11"/>
  <c r="BE72" i="11"/>
  <c r="BD72" i="11"/>
  <c r="BC72" i="11"/>
  <c r="BB72" i="11"/>
  <c r="BA72" i="11"/>
  <c r="AZ72" i="11"/>
  <c r="AY72" i="11"/>
  <c r="AX72" i="11"/>
  <c r="AW72" i="11"/>
  <c r="AV72" i="11"/>
  <c r="AU72" i="11"/>
  <c r="AT72" i="11"/>
  <c r="AS72" i="11"/>
  <c r="AR72" i="11"/>
  <c r="AQ72" i="11"/>
  <c r="AP72" i="11"/>
  <c r="AO72" i="11"/>
  <c r="AN72" i="11"/>
  <c r="AM72" i="11"/>
  <c r="AL72" i="11"/>
  <c r="AK72" i="11"/>
  <c r="AJ72" i="11"/>
  <c r="AI72" i="11"/>
  <c r="AH72" i="11"/>
  <c r="AG72" i="11"/>
  <c r="AF72" i="11"/>
  <c r="AE72" i="11"/>
  <c r="AD72" i="11"/>
  <c r="AC72" i="11"/>
  <c r="AB72" i="11"/>
  <c r="AA72" i="11"/>
  <c r="Z72" i="11"/>
  <c r="Y72" i="11"/>
  <c r="X72" i="11"/>
  <c r="W72" i="11"/>
  <c r="V72" i="11"/>
  <c r="U72" i="11"/>
  <c r="T72" i="11"/>
  <c r="S72" i="11"/>
  <c r="R72" i="11"/>
  <c r="C72" i="11"/>
  <c r="A74" i="11"/>
  <c r="A48" i="11"/>
  <c r="A47" i="11"/>
  <c r="A36" i="11"/>
  <c r="A35" i="11"/>
  <c r="A19" i="11"/>
  <c r="A16" i="11"/>
  <c r="A17" i="11"/>
  <c r="A21" i="11"/>
  <c r="A24" i="11"/>
  <c r="A142" i="11"/>
  <c r="A89" i="11"/>
  <c r="A101" i="11"/>
  <c r="A83" i="11"/>
  <c r="A81" i="11"/>
  <c r="A80" i="11"/>
  <c r="A121" i="11"/>
  <c r="A117" i="11"/>
  <c r="A111" i="11"/>
  <c r="H80" i="13"/>
  <c r="H79" i="13"/>
  <c r="D99" i="11"/>
  <c r="A22" i="13"/>
  <c r="E101" i="11"/>
  <c r="B23" i="13"/>
  <c r="B20" i="14"/>
  <c r="B12" i="13"/>
  <c r="A12" i="13"/>
  <c r="H12" i="13"/>
  <c r="H13" i="13"/>
  <c r="A10" i="14"/>
  <c r="B27" i="13"/>
  <c r="A27" i="13"/>
  <c r="H27" i="13"/>
  <c r="B22" i="14"/>
  <c r="A25" i="13"/>
  <c r="D25" i="13"/>
  <c r="I25" i="13"/>
  <c r="A19" i="14"/>
  <c r="E99" i="11"/>
  <c r="B22" i="13"/>
  <c r="D101" i="11"/>
  <c r="A23" i="13"/>
  <c r="B19" i="14"/>
  <c r="B10" i="13"/>
  <c r="B13" i="13"/>
  <c r="A15" i="13"/>
  <c r="D15" i="13" s="1"/>
  <c r="I15" i="13" s="1"/>
  <c r="O74" i="11"/>
  <c r="O75" i="11"/>
  <c r="E53" i="11"/>
  <c r="B28" i="14"/>
  <c r="D53" i="11"/>
  <c r="A28" i="14"/>
  <c r="A20" i="14"/>
  <c r="B23" i="14"/>
  <c r="D27" i="13"/>
  <c r="I27" i="13"/>
  <c r="B31" i="14"/>
  <c r="H34" i="13"/>
  <c r="A31" i="14"/>
  <c r="B77" i="13"/>
  <c r="I77" i="13"/>
  <c r="H54" i="13"/>
  <c r="H51" i="13"/>
  <c r="H49" i="13"/>
  <c r="H55" i="13"/>
  <c r="A38" i="14"/>
  <c r="B36" i="14"/>
  <c r="A31" i="13"/>
  <c r="D31" i="13"/>
  <c r="I31" i="13"/>
  <c r="D56" i="11"/>
  <c r="A29" i="14"/>
  <c r="H31" i="13"/>
  <c r="H26" i="13"/>
  <c r="D26" i="13"/>
  <c r="I26" i="13"/>
  <c r="E86" i="11"/>
  <c r="A18" i="13"/>
  <c r="D18" i="13"/>
  <c r="I18" i="13"/>
  <c r="A15" i="14"/>
  <c r="H23" i="13"/>
  <c r="D23" i="13"/>
  <c r="I23" i="13"/>
  <c r="D22" i="13"/>
  <c r="I22" i="13"/>
  <c r="H22" i="13"/>
  <c r="I55" i="13"/>
  <c r="B38" i="14"/>
  <c r="B31" i="13"/>
  <c r="B93" i="13"/>
  <c r="I93" i="13"/>
  <c r="A23" i="14"/>
  <c r="H18" i="13"/>
  <c r="A32" i="13"/>
  <c r="D12" i="13"/>
  <c r="I12" i="13"/>
  <c r="E56" i="11"/>
  <c r="H25" i="13"/>
  <c r="B18" i="13"/>
  <c r="B15" i="14"/>
  <c r="D32" i="13"/>
  <c r="I32" i="13"/>
  <c r="H32" i="13"/>
  <c r="B32" i="13"/>
  <c r="B29" i="14"/>
  <c r="D11" i="13"/>
  <c r="I11" i="13"/>
  <c r="H11" i="13"/>
  <c r="A8" i="14"/>
  <c r="B8" i="14"/>
  <c r="H10" i="13"/>
  <c r="D10" i="13"/>
  <c r="I10" i="13"/>
  <c r="I40" i="13"/>
  <c r="D6" i="13" s="1"/>
  <c r="A7" i="14"/>
  <c r="E35" i="11" l="1"/>
  <c r="B13" i="14" s="1"/>
  <c r="A125" i="11"/>
  <c r="O92" i="11"/>
  <c r="D87" i="11" s="1"/>
  <c r="H20" i="13"/>
  <c r="C87" i="11"/>
  <c r="B12" i="14"/>
  <c r="H15" i="13"/>
  <c r="A13" i="14"/>
  <c r="H16" i="13"/>
  <c r="D16" i="13"/>
  <c r="I16" i="13" s="1"/>
  <c r="B16" i="13" l="1"/>
  <c r="B51" i="14"/>
  <c r="A17" i="14"/>
  <c r="E87" i="11"/>
  <c r="A20" i="13"/>
  <c r="D20" i="13" s="1"/>
  <c r="I20" i="13" s="1"/>
  <c r="H40" i="13"/>
  <c r="A6" i="13" s="1"/>
  <c r="B4" i="14"/>
  <c r="B17" i="14" l="1"/>
  <c r="B2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REUTER Andreas (ECFIN)</author>
  </authors>
  <commentList>
    <comment ref="B5" authorId="0" shapeId="0" xr:uid="{00000000-0006-0000-0000-000001000000}">
      <text>
        <r>
          <rPr>
            <b/>
            <sz val="9"/>
            <color indexed="81"/>
            <rFont val="Tahoma"/>
            <family val="2"/>
          </rPr>
          <t>If you apply for conducting surveys in more than one country, please fill in separate methodology sheets for the different countries.</t>
        </r>
        <r>
          <rPr>
            <sz val="9"/>
            <color indexed="81"/>
            <rFont val="Tahoma"/>
            <family val="2"/>
          </rPr>
          <t xml:space="preserve">
</t>
        </r>
      </text>
    </comment>
    <comment ref="B6" authorId="0" shapeId="0" xr:uid="{00000000-0006-0000-0000-000002000000}">
      <text>
        <r>
          <rPr>
            <b/>
            <sz val="9"/>
            <color indexed="81"/>
            <rFont val="Tahoma"/>
            <family val="2"/>
          </rPr>
          <t xml:space="preserve">Please fill in one separate methodology sheet for every sectoral survey you apply for. </t>
        </r>
        <r>
          <rPr>
            <sz val="9"/>
            <color indexed="81"/>
            <rFont val="Tahoma"/>
            <family val="2"/>
          </rPr>
          <t xml:space="preserve">
</t>
        </r>
      </text>
    </comment>
    <comment ref="F137" authorId="0" shapeId="0" xr:uid="{00000000-0006-0000-0000-000003000000}">
      <text>
        <r>
          <rPr>
            <sz val="11"/>
            <color indexed="81"/>
            <rFont val="Calibri"/>
            <family val="2"/>
          </rPr>
          <t>Please allocate up to 3 points for the way in which missing data will be treated (unit non-response and item non-response).</t>
        </r>
      </text>
    </comment>
    <comment ref="F147" authorId="0" shapeId="0" xr:uid="{00000000-0006-0000-0000-000004000000}">
      <text>
        <r>
          <rPr>
            <sz val="11"/>
            <color indexed="81"/>
            <rFont val="Calibri"/>
            <family val="2"/>
          </rPr>
          <t>Please allocate up to 3 points for the data quality control system.</t>
        </r>
      </text>
    </comment>
  </commentList>
</comments>
</file>

<file path=xl/sharedStrings.xml><?xml version="1.0" encoding="utf-8"?>
<sst xmlns="http://schemas.openxmlformats.org/spreadsheetml/2006/main" count="182" uniqueCount="157">
  <si>
    <t>type of organisation</t>
  </si>
  <si>
    <t>type of frame:</t>
  </si>
  <si>
    <t>Which survey mode will be applied?</t>
  </si>
  <si>
    <r>
      <t xml:space="preserve">Will any particular measures be applied to increase response rates </t>
    </r>
    <r>
      <rPr>
        <b/>
        <i/>
        <sz val="11"/>
        <color indexed="8"/>
        <rFont val="Calibri"/>
        <family val="2"/>
      </rPr>
      <t xml:space="preserve">prior </t>
    </r>
    <r>
      <rPr>
        <sz val="11"/>
        <color theme="1"/>
        <rFont val="Calibri"/>
        <family val="2"/>
        <scheme val="minor"/>
      </rPr>
      <t>to actual interview / the sending of the questionnaire?</t>
    </r>
  </si>
  <si>
    <t xml:space="preserve">Will particular incentives be provided to potential respondents, conditional on their participation in the survey? </t>
  </si>
  <si>
    <t>Which measures will you take to deal with item-non-response?</t>
  </si>
  <si>
    <t>Will you use a panel?</t>
  </si>
  <si>
    <r>
      <t xml:space="preserve">The frame is updated every … </t>
    </r>
    <r>
      <rPr>
        <b/>
        <u/>
        <sz val="11"/>
        <color indexed="8"/>
        <rFont val="Calibri"/>
        <family val="2"/>
      </rPr>
      <t>month(s)</t>
    </r>
  </si>
  <si>
    <t>Do you have further comments about the sampling method you apply (use cell below)?</t>
  </si>
  <si>
    <t>Do you have further comments about the sampling frame you use (use cell below)?</t>
  </si>
  <si>
    <t>Do you have further comments about the survey mode you apply (use cell below)?</t>
  </si>
  <si>
    <t>Do you have further comments about the response rate (use cell below)?</t>
  </si>
  <si>
    <t>Do you have further comments about the issue of item / unit non-response in your survey (use cell below)?</t>
  </si>
  <si>
    <t>Will you include questions in the questionnaire which are not part of the harmonised EU BCS questionnaire?</t>
  </si>
  <si>
    <t>Which measures will you take prior to submission of the survey data to ensure the correctness / consistency of the data?</t>
  </si>
  <si>
    <t>Countries:</t>
  </si>
  <si>
    <t>Belgium</t>
  </si>
  <si>
    <t>Bulgaria</t>
  </si>
  <si>
    <t>Czech Republic</t>
  </si>
  <si>
    <t>Denmark</t>
  </si>
  <si>
    <t xml:space="preserve">Germany </t>
  </si>
  <si>
    <t>Estonia</t>
  </si>
  <si>
    <t>Ireland</t>
  </si>
  <si>
    <t>Greece</t>
  </si>
  <si>
    <t>Spain</t>
  </si>
  <si>
    <t xml:space="preserve">France </t>
  </si>
  <si>
    <t>Croatia</t>
  </si>
  <si>
    <t>Italy</t>
  </si>
  <si>
    <t>Cyprus</t>
  </si>
  <si>
    <t>Latvia</t>
  </si>
  <si>
    <t>Lithuania</t>
  </si>
  <si>
    <t>Luxembourg</t>
  </si>
  <si>
    <t xml:space="preserve">Hungary </t>
  </si>
  <si>
    <t>Malta</t>
  </si>
  <si>
    <t>Netherlands</t>
  </si>
  <si>
    <t>Austria</t>
  </si>
  <si>
    <t>Poland</t>
  </si>
  <si>
    <t xml:space="preserve">Portugal </t>
  </si>
  <si>
    <t>Romania</t>
  </si>
  <si>
    <t>Slovenia</t>
  </si>
  <si>
    <t>Slovakia</t>
  </si>
  <si>
    <t>Finland</t>
  </si>
  <si>
    <t xml:space="preserve">Sweden </t>
  </si>
  <si>
    <t>United Kingdom</t>
  </si>
  <si>
    <t>Montenegro</t>
  </si>
  <si>
    <t>Serbia</t>
  </si>
  <si>
    <t>Turkey</t>
  </si>
  <si>
    <t>Which measures will you take to deal with unit-non-response?</t>
  </si>
  <si>
    <t>What is the sampling frame population?</t>
  </si>
  <si>
    <t>What is the survey target population?</t>
  </si>
  <si>
    <t>Which sampling method will you apply?</t>
  </si>
  <si>
    <t>Will respondents' answers be weighted?</t>
  </si>
  <si>
    <t>Consumer</t>
  </si>
  <si>
    <t>Please fill out all cells with grey filling in this form.</t>
  </si>
  <si>
    <t xml:space="preserve">country </t>
  </si>
  <si>
    <t xml:space="preserve">survey </t>
  </si>
  <si>
    <t xml:space="preserve">name of organisation </t>
  </si>
  <si>
    <r>
      <t xml:space="preserve">Will any particular measures be applied to increase response rates </t>
    </r>
    <r>
      <rPr>
        <b/>
        <i/>
        <sz val="11"/>
        <color indexed="8"/>
        <rFont val="Calibri"/>
        <family val="2"/>
      </rPr>
      <t>after</t>
    </r>
    <r>
      <rPr>
        <sz val="11"/>
        <color theme="1"/>
        <rFont val="Calibri"/>
        <family val="2"/>
        <scheme val="minor"/>
      </rPr>
      <t xml:space="preserve"> individuals/households have been contacted to fill out a questionnaire / answer to an interview?</t>
    </r>
  </si>
  <si>
    <t>What will be the field-work period of the survey?</t>
  </si>
  <si>
    <t>Do you envisage publishing the survey results yourself (in addition to the publication by the Commission)?</t>
  </si>
  <si>
    <r>
      <t xml:space="preserve">Description of the </t>
    </r>
    <r>
      <rPr>
        <b/>
        <sz val="20"/>
        <color indexed="8"/>
        <rFont val="Calibri"/>
        <family val="2"/>
      </rPr>
      <t xml:space="preserve">Survey Methodology (Consumer survey) </t>
    </r>
  </si>
  <si>
    <r>
      <rPr>
        <b/>
        <u/>
        <sz val="20"/>
        <color indexed="8"/>
        <rFont val="Calibri"/>
        <family val="2"/>
      </rPr>
      <t>Automatic</t>
    </r>
    <r>
      <rPr>
        <b/>
        <sz val="20"/>
        <color indexed="8"/>
        <rFont val="Calibri"/>
        <family val="2"/>
      </rPr>
      <t xml:space="preserve"> Evaluation</t>
    </r>
  </si>
  <si>
    <t>Evaluators' Space</t>
  </si>
  <si>
    <t>POINTS</t>
  </si>
  <si>
    <t>JUSTIFICATION</t>
  </si>
  <si>
    <t>POINTS (if deviating opinion)</t>
  </si>
  <si>
    <t>JUSTIFICATION (if evaluator does NOT agree with automatic evaluation)</t>
  </si>
  <si>
    <r>
      <rPr>
        <b/>
        <u/>
        <sz val="20"/>
        <color indexed="8"/>
        <rFont val="Calibri"/>
        <family val="2"/>
      </rPr>
      <t>Automatic</t>
    </r>
    <r>
      <rPr>
        <b/>
        <sz val="20"/>
        <color indexed="8"/>
        <rFont val="Calibri"/>
        <family val="2"/>
      </rPr>
      <t xml:space="preserve"> Evaluation</t>
    </r>
  </si>
  <si>
    <t>OVERALL POINTS ALLOCATED:</t>
  </si>
  <si>
    <t>max. points to be allocated: 10</t>
  </si>
  <si>
    <t>max. points to be allocated: 6</t>
  </si>
  <si>
    <t>max. points to be allocated: 4</t>
  </si>
  <si>
    <t>max. points to be allocated: 3</t>
  </si>
  <si>
    <t>Total sum of points for the award criteria:</t>
  </si>
  <si>
    <t>a) Sampling frame:</t>
  </si>
  <si>
    <t>b) Sampling method:</t>
  </si>
  <si>
    <t>c) Number of completed interviews:</t>
  </si>
  <si>
    <t>max. points to be allocated: 12</t>
  </si>
  <si>
    <t>d) Response rates:</t>
  </si>
  <si>
    <t>e) Survey mode:</t>
  </si>
  <si>
    <t>f) Measures to raise / maintain response rates:</t>
  </si>
  <si>
    <t xml:space="preserve">g) Treatment of missing data: </t>
  </si>
  <si>
    <t>h) Weighting scheme:</t>
  </si>
  <si>
    <t>i) Questionnaire design:</t>
  </si>
  <si>
    <t>a) Sampling frame (maximum 10 points):</t>
  </si>
  <si>
    <t>b) Sampling method (maximum 10 points):</t>
  </si>
  <si>
    <t>c) Number of completed interviews (maximum 12 points):</t>
  </si>
  <si>
    <t>d) Response rates (maximum 4 points):</t>
  </si>
  <si>
    <t>e) Survey mode (maximum 6 points):</t>
  </si>
  <si>
    <t>f) Measures to raise / maintain response rates (maximum 3 points):</t>
  </si>
  <si>
    <t xml:space="preserve">g) Treatment of missing data (maximum 3 points): </t>
  </si>
  <si>
    <t>h) Weighting scheme (maximum 6 points):</t>
  </si>
  <si>
    <t>i) Questionnaire design (maximum 3 points):</t>
  </si>
  <si>
    <t>j) Data quality control system:</t>
  </si>
  <si>
    <t>j) Data quality control system (maximum 3 points):</t>
  </si>
  <si>
    <r>
      <rPr>
        <sz val="18"/>
        <color indexed="8"/>
        <rFont val="Calibri"/>
        <family val="2"/>
      </rPr>
      <t>Award criterion 1:</t>
    </r>
    <r>
      <rPr>
        <b/>
        <sz val="18"/>
        <color indexed="8"/>
        <rFont val="Calibri"/>
        <family val="2"/>
      </rPr>
      <t xml:space="preserve"> Proposed survey methodology </t>
    </r>
  </si>
  <si>
    <r>
      <rPr>
        <sz val="18"/>
        <color indexed="8"/>
        <rFont val="Calibri"/>
        <family val="2"/>
      </rPr>
      <t>Award criterion 2:</t>
    </r>
    <r>
      <rPr>
        <b/>
        <sz val="18"/>
        <color indexed="8"/>
        <rFont val="Calibri"/>
        <family val="2"/>
      </rPr>
      <t xml:space="preserve"> Effectiveness of the organisation and workflow of activities </t>
    </r>
  </si>
  <si>
    <r>
      <rPr>
        <sz val="18"/>
        <color indexed="8"/>
        <rFont val="Calibri"/>
        <family val="2"/>
      </rPr>
      <t>Award criterion 3:</t>
    </r>
    <r>
      <rPr>
        <b/>
        <sz val="18"/>
        <color indexed="8"/>
        <rFont val="Calibri"/>
        <family val="2"/>
      </rPr>
      <t xml:space="preserve"> Degree to which the collected data will be disseminated at national level and feed into economic analysis and research, to foster critical review by experts</t>
    </r>
  </si>
  <si>
    <r>
      <rPr>
        <sz val="18"/>
        <color indexed="8"/>
        <rFont val="Calibri"/>
        <family val="2"/>
      </rPr>
      <t>Award criterion 4:</t>
    </r>
    <r>
      <rPr>
        <b/>
        <sz val="18"/>
        <color indexed="8"/>
        <rFont val="Calibri"/>
        <family val="2"/>
      </rPr>
      <t xml:space="preserve"> Cost effectiveness of the proposed action and the adequacy of the composition of the budget</t>
    </r>
  </si>
  <si>
    <t>Information on the applicant:</t>
  </si>
  <si>
    <r>
      <t xml:space="preserve">Survey mode </t>
    </r>
    <r>
      <rPr>
        <sz val="16"/>
        <color indexed="8"/>
        <rFont val="Calibri"/>
        <family val="2"/>
      </rPr>
      <t>(refers to award criterion (1)(e))</t>
    </r>
    <r>
      <rPr>
        <b/>
        <sz val="16"/>
        <color indexed="8"/>
        <rFont val="Calibri"/>
        <family val="2"/>
      </rPr>
      <t>:</t>
    </r>
  </si>
  <si>
    <r>
      <t xml:space="preserve">Measures to increase response rates </t>
    </r>
    <r>
      <rPr>
        <sz val="16"/>
        <color indexed="8"/>
        <rFont val="Calibri"/>
        <family val="2"/>
      </rPr>
      <t>(refers to award criterion (1)(f))</t>
    </r>
    <r>
      <rPr>
        <b/>
        <sz val="16"/>
        <color indexed="8"/>
        <rFont val="Calibri"/>
        <family val="2"/>
      </rPr>
      <t>:</t>
    </r>
  </si>
  <si>
    <r>
      <t xml:space="preserve">Item / unit non-response </t>
    </r>
    <r>
      <rPr>
        <sz val="16"/>
        <color indexed="8"/>
        <rFont val="Calibri"/>
        <family val="2"/>
      </rPr>
      <t>(refers to award criterion (1)(g))</t>
    </r>
    <r>
      <rPr>
        <b/>
        <sz val="16"/>
        <color indexed="8"/>
        <rFont val="Calibri"/>
        <family val="2"/>
      </rPr>
      <t>:</t>
    </r>
  </si>
  <si>
    <r>
      <t xml:space="preserve">Information on the questionnaire </t>
    </r>
    <r>
      <rPr>
        <sz val="16"/>
        <color indexed="8"/>
        <rFont val="Calibri"/>
        <family val="2"/>
      </rPr>
      <t>(refers to award criterion (1)(i))</t>
    </r>
    <r>
      <rPr>
        <b/>
        <sz val="16"/>
        <color indexed="8"/>
        <rFont val="Calibri"/>
        <family val="2"/>
      </rPr>
      <t>:</t>
    </r>
  </si>
  <si>
    <r>
      <t xml:space="preserve">Data quality control system </t>
    </r>
    <r>
      <rPr>
        <sz val="16"/>
        <color indexed="8"/>
        <rFont val="Calibri"/>
        <family val="2"/>
      </rPr>
      <t>(refers to award criterion (1)(j))</t>
    </r>
    <r>
      <rPr>
        <b/>
        <sz val="16"/>
        <color indexed="8"/>
        <rFont val="Calibri"/>
        <family val="2"/>
      </rPr>
      <t>:</t>
    </r>
  </si>
  <si>
    <r>
      <t xml:space="preserve">Sampling frame </t>
    </r>
    <r>
      <rPr>
        <sz val="16"/>
        <color indexed="8"/>
        <rFont val="Calibri"/>
        <family val="2"/>
      </rPr>
      <t>(refers to award criterion (1)(a))</t>
    </r>
    <r>
      <rPr>
        <b/>
        <sz val="16"/>
        <color indexed="8"/>
        <rFont val="Calibri"/>
        <family val="2"/>
      </rPr>
      <t>:</t>
    </r>
  </si>
  <si>
    <r>
      <t xml:space="preserve">Sampling method </t>
    </r>
    <r>
      <rPr>
        <sz val="16"/>
        <color indexed="8"/>
        <rFont val="Calibri"/>
        <family val="2"/>
      </rPr>
      <t>(refers to award criterion (1)(b))</t>
    </r>
    <r>
      <rPr>
        <b/>
        <sz val="16"/>
        <color indexed="8"/>
        <rFont val="Calibri"/>
        <family val="2"/>
      </rPr>
      <t>:</t>
    </r>
  </si>
  <si>
    <r>
      <t xml:space="preserve">Stratification </t>
    </r>
    <r>
      <rPr>
        <sz val="16"/>
        <color indexed="8"/>
        <rFont val="Calibri"/>
        <family val="2"/>
      </rPr>
      <t>(refers to award criterion (1)(b))</t>
    </r>
    <r>
      <rPr>
        <b/>
        <sz val="16"/>
        <color indexed="8"/>
        <rFont val="Calibri"/>
        <family val="2"/>
      </rPr>
      <t>:</t>
    </r>
  </si>
  <si>
    <r>
      <t xml:space="preserve">Weighting </t>
    </r>
    <r>
      <rPr>
        <sz val="16"/>
        <color indexed="8"/>
        <rFont val="Calibri"/>
        <family val="2"/>
      </rPr>
      <t>(refers to award criterion (1)(h))</t>
    </r>
    <r>
      <rPr>
        <b/>
        <sz val="16"/>
        <color indexed="8"/>
        <rFont val="Calibri"/>
        <family val="2"/>
      </rPr>
      <t>:</t>
    </r>
  </si>
  <si>
    <r>
      <t xml:space="preserve">Panel sampling and response rates </t>
    </r>
    <r>
      <rPr>
        <sz val="16"/>
        <color indexed="8"/>
        <rFont val="Calibri"/>
        <family val="2"/>
      </rPr>
      <t>(refers to award criteria (1)(b) and (1)(d))</t>
    </r>
    <r>
      <rPr>
        <b/>
        <sz val="16"/>
        <color indexed="8"/>
        <rFont val="Calibri"/>
        <family val="2"/>
      </rPr>
      <t>:</t>
    </r>
  </si>
  <si>
    <r>
      <t xml:space="preserve">Award criterion 2: </t>
    </r>
    <r>
      <rPr>
        <sz val="16"/>
        <color indexed="8"/>
        <rFont val="Calibri"/>
        <family val="2"/>
      </rPr>
      <t>The effectiveness of the organisation and workflow of activities (including, if applicable, co-ordination between co-applicants and with sub-contractors) with a view to delivering results of sufficient quality in time</t>
    </r>
  </si>
  <si>
    <t>● fieldwork</t>
  </si>
  <si>
    <t>● data-encoding/data-processing</t>
  </si>
  <si>
    <t>● research/analysis</t>
  </si>
  <si>
    <t>● management</t>
  </si>
  <si>
    <r>
      <t xml:space="preserve">(Q1)  Does the applicant have a separate team (or dedicated person(s)) in charge of the below tasks?
</t>
    </r>
    <r>
      <rPr>
        <b/>
        <i/>
        <sz val="11"/>
        <color indexed="8"/>
        <rFont val="Calibri"/>
        <family val="2"/>
      </rPr>
      <t>hint: usually this is laid down in the organigramme</t>
    </r>
    <r>
      <rPr>
        <b/>
        <sz val="11"/>
        <color indexed="8"/>
        <rFont val="Calibri"/>
        <family val="2"/>
      </rPr>
      <t xml:space="preserve">
</t>
    </r>
  </si>
  <si>
    <t xml:space="preserve">(Q2)  As regards timing, does the workflow foresee enough time between the end of the fieldwork and the submission of the data to the Commission?
</t>
  </si>
  <si>
    <t xml:space="preserve">(Q3)  In case the proposal involves sub-contractors/co-applicants: Does the proposal describe a convincing strategy to ensure a good coordination between the different parties?
</t>
  </si>
  <si>
    <t xml:space="preserve">(Q3)(1)  Does the proposal involve sub-contractors / co-applicants?
</t>
  </si>
  <si>
    <r>
      <t xml:space="preserve">Award criterion 3: </t>
    </r>
    <r>
      <rPr>
        <sz val="16"/>
        <color indexed="8"/>
        <rFont val="Calibri"/>
        <family val="2"/>
      </rPr>
      <t>The degree to which the collected data will be disseminated at national level and feed into economic analysis and research, to foster critical review by experts.</t>
    </r>
  </si>
  <si>
    <t xml:space="preserve">(Q1)  Which of the actions will the applicant undertake to promote the dissemination and use of the data and foster critical review by experts?
</t>
  </si>
  <si>
    <t>● using the data for economic research and/or passing the data on to another institution using them for research</t>
  </si>
  <si>
    <t>● publishing the data and/or passing the data on to another institution which will publish them</t>
  </si>
  <si>
    <t>max. points to be allocated: 20</t>
  </si>
  <si>
    <t>(Q1)  The results of the automatic cost-effectiveness evaluation are here below:</t>
  </si>
  <si>
    <t xml:space="preserve">(Q2)(1)  Does the budget contain items which are not necessary to complete the action (e.g. interviewers when the survey is done by post)?
</t>
  </si>
  <si>
    <t xml:space="preserve">(Q2)(2)  If "yes", write down the unnecessary budget items in the right cell (separate the different items by a comma)!
</t>
  </si>
  <si>
    <r>
      <t>(Q3)  An important aspect is whether the different budget items are proportionate, taking into account the main parameters of the envisaged survey implementation.
Choose from the below items the ones which appear unduly high!</t>
    </r>
    <r>
      <rPr>
        <b/>
        <sz val="11"/>
        <color indexed="8"/>
        <rFont val="Calibri"/>
        <family val="2"/>
      </rPr>
      <t xml:space="preserve">
</t>
    </r>
  </si>
  <si>
    <t>administrative costs</t>
  </si>
  <si>
    <t>staff costs</t>
  </si>
  <si>
    <t>travelling costs/subsistence allowances</t>
  </si>
  <si>
    <t>printing costs</t>
  </si>
  <si>
    <t>costs of materials</t>
  </si>
  <si>
    <t>"other costs"</t>
  </si>
  <si>
    <t>costs for managers</t>
  </si>
  <si>
    <t>costs for researchers</t>
  </si>
  <si>
    <t>costs for interviewers</t>
  </si>
  <si>
    <t>costs for technical staff</t>
  </si>
  <si>
    <t>costs for administrative staff</t>
  </si>
  <si>
    <t>costs for temporary staff</t>
  </si>
  <si>
    <t>costs for staff under civil contracts</t>
  </si>
  <si>
    <t>subcontracting costs</t>
  </si>
  <si>
    <r>
      <t xml:space="preserve">Award criterion 4: </t>
    </r>
    <r>
      <rPr>
        <sz val="16"/>
        <rFont val="Calibri"/>
        <family val="2"/>
      </rPr>
      <t>The cost effectiveness of the proposed action and the adequacy of the composition of the budget in view of the envisaged survey implementation</t>
    </r>
  </si>
  <si>
    <t>Albania</t>
  </si>
  <si>
    <t>Republic of North Macedonia</t>
  </si>
  <si>
    <t xml:space="preserve"> </t>
  </si>
  <si>
    <t>resprate</t>
  </si>
  <si>
    <r>
      <t xml:space="preserve">Sampling frame </t>
    </r>
    <r>
      <rPr>
        <sz val="16"/>
        <color indexed="8"/>
        <rFont val="Calibri"/>
        <family val="2"/>
      </rPr>
      <t>(refers to award criterion 1 (a))</t>
    </r>
    <r>
      <rPr>
        <b/>
        <sz val="16"/>
        <color indexed="8"/>
        <rFont val="Calibri"/>
        <family val="2"/>
      </rPr>
      <t>:</t>
    </r>
  </si>
  <si>
    <r>
      <t xml:space="preserve">Sampling method </t>
    </r>
    <r>
      <rPr>
        <sz val="16"/>
        <color indexed="8"/>
        <rFont val="Calibri"/>
        <family val="2"/>
      </rPr>
      <t>(refers to award criterion 1 (b))</t>
    </r>
    <r>
      <rPr>
        <b/>
        <sz val="16"/>
        <color indexed="8"/>
        <rFont val="Calibri"/>
        <family val="2"/>
      </rPr>
      <t>:</t>
    </r>
  </si>
  <si>
    <r>
      <t xml:space="preserve">Stratification </t>
    </r>
    <r>
      <rPr>
        <sz val="16"/>
        <color indexed="8"/>
        <rFont val="Calibri"/>
        <family val="2"/>
      </rPr>
      <t>(refers to award criterion 1 (b))</t>
    </r>
    <r>
      <rPr>
        <b/>
        <sz val="16"/>
        <color indexed="8"/>
        <rFont val="Calibri"/>
        <family val="2"/>
      </rPr>
      <t>:</t>
    </r>
  </si>
  <si>
    <r>
      <t xml:space="preserve">Weighting </t>
    </r>
    <r>
      <rPr>
        <sz val="16"/>
        <color indexed="8"/>
        <rFont val="Calibri"/>
        <family val="2"/>
      </rPr>
      <t>(refers to award criterion 1 (h))</t>
    </r>
    <r>
      <rPr>
        <b/>
        <sz val="16"/>
        <color indexed="8"/>
        <rFont val="Calibri"/>
        <family val="2"/>
      </rPr>
      <t>:</t>
    </r>
  </si>
  <si>
    <r>
      <t xml:space="preserve">Panel sampling and response rates </t>
    </r>
    <r>
      <rPr>
        <sz val="16"/>
        <color indexed="8"/>
        <rFont val="Calibri"/>
        <family val="2"/>
      </rPr>
      <t>(refers to award criteria 1 (b), (c) and (d))</t>
    </r>
    <r>
      <rPr>
        <b/>
        <sz val="16"/>
        <color indexed="8"/>
        <rFont val="Calibri"/>
        <family val="2"/>
      </rPr>
      <t>:</t>
    </r>
  </si>
  <si>
    <r>
      <t xml:space="preserve">Survey mode </t>
    </r>
    <r>
      <rPr>
        <sz val="16"/>
        <color indexed="8"/>
        <rFont val="Calibri"/>
        <family val="2"/>
      </rPr>
      <t>(refers to award criterion 1 (e))</t>
    </r>
    <r>
      <rPr>
        <b/>
        <sz val="16"/>
        <color indexed="8"/>
        <rFont val="Calibri"/>
        <family val="2"/>
      </rPr>
      <t>:</t>
    </r>
  </si>
  <si>
    <r>
      <t xml:space="preserve">Measures to increase response rates </t>
    </r>
    <r>
      <rPr>
        <sz val="16"/>
        <color indexed="8"/>
        <rFont val="Calibri"/>
        <family val="2"/>
      </rPr>
      <t>(refers to award criterion 1 (f))</t>
    </r>
    <r>
      <rPr>
        <b/>
        <sz val="16"/>
        <color indexed="8"/>
        <rFont val="Calibri"/>
        <family val="2"/>
      </rPr>
      <t>:</t>
    </r>
  </si>
  <si>
    <r>
      <t xml:space="preserve">Item / unit non-response </t>
    </r>
    <r>
      <rPr>
        <sz val="16"/>
        <color indexed="8"/>
        <rFont val="Calibri"/>
        <family val="2"/>
      </rPr>
      <t>(refers to award criterion 1 (g))</t>
    </r>
    <r>
      <rPr>
        <b/>
        <sz val="16"/>
        <color indexed="8"/>
        <rFont val="Calibri"/>
        <family val="2"/>
      </rPr>
      <t>:</t>
    </r>
  </si>
  <si>
    <r>
      <t xml:space="preserve">Information on the questionnaire </t>
    </r>
    <r>
      <rPr>
        <sz val="16"/>
        <color indexed="8"/>
        <rFont val="Calibri"/>
        <family val="2"/>
      </rPr>
      <t>(refers to award criterion 1 (i))</t>
    </r>
    <r>
      <rPr>
        <b/>
        <sz val="16"/>
        <color indexed="8"/>
        <rFont val="Calibri"/>
        <family val="2"/>
      </rPr>
      <t>:</t>
    </r>
  </si>
  <si>
    <r>
      <t xml:space="preserve">Data quality control system </t>
    </r>
    <r>
      <rPr>
        <sz val="16"/>
        <color indexed="8"/>
        <rFont val="Calibri"/>
        <family val="2"/>
      </rPr>
      <t>(refers to award criterion 1 (j))</t>
    </r>
    <r>
      <rPr>
        <b/>
        <sz val="16"/>
        <color indexed="8"/>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</si>
</sst>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
    <numFmt numFmtId="165" formatCode="0.0"/>
    <numFmt numFmtId="166" formatCode="0.000"/>
    <numFmt numFmtId="167" formatCode="0.0000"/>
  </numFmts>
  <fonts count="36" x14ac:knownFonts="1">
    <font>
      <sz val="11"/>
      <color theme="1"/>
      <name val="Calibri"/>
      <family val="2"/>
      <scheme val="minor"/>
    </font>
    <font>
      <u/>
      <sz val="10"/>
      <color indexed="12"/>
      <name val="Arial"/>
      <family val="2"/>
    </font>
    <font>
      <sz val="10"/>
      <name val="Arial"/>
      <family val="2"/>
    </font>
    <font>
      <b/>
      <u/>
      <sz val="11"/>
      <color indexed="8"/>
      <name val="Calibri"/>
      <family val="2"/>
    </font>
    <font>
      <b/>
      <i/>
      <sz val="11"/>
      <color indexed="8"/>
      <name val="Calibri"/>
      <family val="2"/>
    </font>
    <font>
      <b/>
      <sz val="20"/>
      <color indexed="8"/>
      <name val="Calibri"/>
      <family val="2"/>
    </font>
    <font>
      <b/>
      <u/>
      <sz val="20"/>
      <color indexed="8"/>
      <name val="Calibri"/>
      <family val="2"/>
    </font>
    <font>
      <sz val="11"/>
      <name val="Calibri"/>
      <family val="2"/>
    </font>
    <font>
      <sz val="11"/>
      <color indexed="81"/>
      <name val="Calibri"/>
      <family val="2"/>
    </font>
    <font>
      <b/>
      <sz val="18"/>
      <color indexed="8"/>
      <name val="Calibri"/>
      <family val="2"/>
    </font>
    <font>
      <sz val="18"/>
      <color indexed="8"/>
      <name val="Calibri"/>
      <family val="2"/>
    </font>
    <font>
      <b/>
      <sz val="16"/>
      <color indexed="8"/>
      <name val="Calibri"/>
      <family val="2"/>
    </font>
    <font>
      <sz val="16"/>
      <color indexed="8"/>
      <name val="Calibri"/>
      <family val="2"/>
    </font>
    <font>
      <b/>
      <sz val="11"/>
      <color indexed="8"/>
      <name val="Calibri"/>
      <family val="2"/>
    </font>
    <font>
      <sz val="16"/>
      <name val="Calibri"/>
      <family val="2"/>
    </font>
    <font>
      <sz val="9"/>
      <color indexed="81"/>
      <name val="Tahoma"/>
      <family val="2"/>
    </font>
    <font>
      <b/>
      <sz val="9"/>
      <color indexed="81"/>
      <name val="Tahoma"/>
      <family val="2"/>
    </font>
    <font>
      <sz val="11"/>
      <color theme="0"/>
      <name val="Calibri"/>
      <family val="2"/>
      <scheme val="minor"/>
    </font>
    <font>
      <b/>
      <sz val="11"/>
      <color theme="1"/>
      <name val="Calibri"/>
      <family val="2"/>
      <scheme val="minor"/>
    </font>
    <font>
      <sz val="11"/>
      <color theme="1"/>
      <name val="Calibri"/>
      <family val="2"/>
    </font>
    <font>
      <b/>
      <sz val="14"/>
      <color rgb="FF000000"/>
      <name val="Calibri"/>
      <family val="2"/>
    </font>
    <font>
      <b/>
      <sz val="11"/>
      <color rgb="FF000000"/>
      <name val="Calibri"/>
      <family val="2"/>
    </font>
    <font>
      <sz val="11"/>
      <color rgb="FF000000"/>
      <name val="Calibri"/>
      <family val="2"/>
    </font>
    <font>
      <b/>
      <sz val="14"/>
      <color theme="1"/>
      <name val="Calibri"/>
      <family val="2"/>
      <scheme val="minor"/>
    </font>
    <font>
      <sz val="11"/>
      <name val="Calibri"/>
      <family val="2"/>
      <scheme val="minor"/>
    </font>
    <font>
      <b/>
      <sz val="16"/>
      <color theme="1"/>
      <name val="Calibri"/>
      <family val="2"/>
      <scheme val="minor"/>
    </font>
    <font>
      <b/>
      <sz val="16"/>
      <color rgb="FF000000"/>
      <name val="Calibri"/>
      <family val="2"/>
    </font>
    <font>
      <b/>
      <sz val="18"/>
      <color theme="1"/>
      <name val="Calibri"/>
      <family val="2"/>
      <scheme val="minor"/>
    </font>
    <font>
      <sz val="14"/>
      <color theme="1"/>
      <name val="Calibri"/>
      <family val="2"/>
      <scheme val="minor"/>
    </font>
    <font>
      <sz val="16"/>
      <color theme="1"/>
      <name val="Calibri"/>
      <family val="2"/>
      <scheme val="minor"/>
    </font>
    <font>
      <b/>
      <sz val="20"/>
      <color theme="1"/>
      <name val="Calibri"/>
      <family val="2"/>
      <scheme val="minor"/>
    </font>
    <font>
      <b/>
      <sz val="20"/>
      <color rgb="FF000000"/>
      <name val="Calibri"/>
      <family val="2"/>
    </font>
    <font>
      <sz val="11"/>
      <color theme="1"/>
      <name val="Times New Roman"/>
      <family val="1"/>
    </font>
    <font>
      <b/>
      <sz val="16"/>
      <name val="Calibri"/>
      <family val="2"/>
      <scheme val="minor"/>
    </font>
    <font>
      <b/>
      <sz val="24"/>
      <color theme="1"/>
      <name val="Calibri"/>
      <family val="2"/>
      <scheme val="minor"/>
    </font>
    <font>
      <sz val="24"/>
      <color theme="1"/>
      <name val="Calibri"/>
      <family val="2"/>
      <scheme val="minor"/>
    </font>
  </fonts>
  <fills count="10">
    <fill>
      <patternFill patternType="none"/>
    </fill>
    <fill>
      <patternFill patternType="gray125"/>
    </fill>
    <fill>
      <patternFill patternType="solid">
        <fgColor theme="0" tint="-0.24994659260841701"/>
        <bgColor indexed="64"/>
      </patternFill>
    </fill>
    <fill>
      <patternFill patternType="solid">
        <fgColor rgb="FFFFFF00"/>
        <bgColor rgb="FF000000"/>
      </patternFill>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24994659260841701"/>
        <bgColor rgb="FF000000"/>
      </patternFill>
    </fill>
    <fill>
      <patternFill patternType="solid">
        <fgColor rgb="FFFF0000"/>
        <bgColor rgb="FF000000"/>
      </patternFill>
    </fill>
    <fill>
      <patternFill patternType="solid">
        <fgColor rgb="FFBFBFBF"/>
        <bgColor rgb="FF000000"/>
      </patternFill>
    </fill>
  </fills>
  <borders count="6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
      <left/>
      <right/>
      <top style="medium">
        <color indexed="64"/>
      </top>
      <bottom/>
      <diagonal/>
    </border>
    <border>
      <left style="thick">
        <color indexed="64"/>
      </left>
      <right/>
      <top style="medium">
        <color indexed="64"/>
      </top>
      <bottom style="medium">
        <color indexed="64"/>
      </bottom>
      <diagonal/>
    </border>
    <border>
      <left/>
      <right style="thick">
        <color indexed="64"/>
      </right>
      <top style="thick">
        <color indexed="64"/>
      </top>
      <bottom style="thick">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right/>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1" fillId="0" borderId="0" applyNumberFormat="0" applyFill="0" applyBorder="0" applyAlignment="0" applyProtection="0">
      <alignment vertical="top"/>
      <protection locked="0"/>
    </xf>
    <xf numFmtId="0" fontId="2" fillId="0" borderId="0"/>
    <xf numFmtId="9" fontId="2" fillId="0" borderId="0" applyFont="0" applyFill="0" applyBorder="0" applyAlignment="0" applyProtection="0"/>
  </cellStyleXfs>
  <cellXfs count="310">
    <xf numFmtId="0" fontId="0" fillId="0" borderId="0" xfId="0"/>
    <xf numFmtId="0" fontId="0" fillId="0" borderId="1" xfId="0" applyBorder="1" applyAlignment="1" applyProtection="1">
      <alignment horizontal="left" wrapText="1"/>
    </xf>
    <xf numFmtId="0" fontId="0" fillId="0" borderId="1" xfId="0" applyFont="1" applyBorder="1" applyAlignment="1" applyProtection="1">
      <alignment horizontal="left" wrapText="1"/>
    </xf>
    <xf numFmtId="0" fontId="0" fillId="0" borderId="0" xfId="0" applyProtection="1">
      <protection hidden="1"/>
    </xf>
    <xf numFmtId="0" fontId="0" fillId="0" borderId="0" xfId="0" applyFill="1" applyProtection="1">
      <protection hidden="1"/>
    </xf>
    <xf numFmtId="0" fontId="0" fillId="2" borderId="2" xfId="0" applyFill="1" applyBorder="1" applyAlignment="1" applyProtection="1">
      <alignment vertical="center" wrapText="1"/>
    </xf>
    <xf numFmtId="166" fontId="0" fillId="0" borderId="0" xfId="0" applyNumberFormat="1" applyProtection="1">
      <protection hidden="1"/>
    </xf>
    <xf numFmtId="0" fontId="0" fillId="0" borderId="1" xfId="0" applyFill="1" applyBorder="1" applyAlignment="1" applyProtection="1">
      <alignment horizontal="left" wrapText="1"/>
    </xf>
    <xf numFmtId="0" fontId="0" fillId="0" borderId="1" xfId="0" applyFont="1" applyFill="1" applyBorder="1" applyAlignment="1" applyProtection="1">
      <alignment horizontal="left" wrapText="1"/>
    </xf>
    <xf numFmtId="0" fontId="17" fillId="0" borderId="0" xfId="0" applyFont="1" applyFill="1" applyProtection="1"/>
    <xf numFmtId="0" fontId="0" fillId="0" borderId="1" xfId="0" applyFont="1" applyFill="1" applyBorder="1" applyAlignment="1" applyProtection="1">
      <alignment wrapText="1"/>
    </xf>
    <xf numFmtId="3" fontId="0" fillId="0" borderId="1" xfId="0" applyNumberFormat="1" applyFill="1" applyBorder="1" applyAlignment="1" applyProtection="1">
      <alignment horizontal="left" wrapText="1"/>
      <protection locked="0"/>
    </xf>
    <xf numFmtId="0" fontId="0" fillId="0" borderId="1" xfId="0" applyFill="1" applyBorder="1" applyAlignment="1" applyProtection="1">
      <alignment horizontal="left" wrapText="1"/>
      <protection locked="0"/>
    </xf>
    <xf numFmtId="0" fontId="0" fillId="0" borderId="0" xfId="0" applyFill="1" applyAlignment="1" applyProtection="1">
      <alignment wrapText="1"/>
    </xf>
    <xf numFmtId="0" fontId="0" fillId="0" borderId="0" xfId="0" applyFill="1" applyProtection="1"/>
    <xf numFmtId="0" fontId="0" fillId="0" borderId="1" xfId="0" applyFill="1" applyBorder="1" applyAlignment="1" applyProtection="1">
      <alignment wrapText="1"/>
      <protection locked="0"/>
    </xf>
    <xf numFmtId="0" fontId="0" fillId="0" borderId="1" xfId="0" applyBorder="1" applyAlignment="1" applyProtection="1">
      <alignment horizontal="left" wrapText="1"/>
      <protection locked="0"/>
    </xf>
    <xf numFmtId="3" fontId="0" fillId="0" borderId="1" xfId="0" applyNumberFormat="1" applyFill="1" applyBorder="1" applyAlignment="1" applyProtection="1">
      <alignment horizontal="left" wrapText="1"/>
    </xf>
    <xf numFmtId="164" fontId="0" fillId="0" borderId="1" xfId="0" applyNumberFormat="1" applyFill="1" applyBorder="1" applyAlignment="1" applyProtection="1">
      <alignment horizontal="left" wrapText="1"/>
    </xf>
    <xf numFmtId="0" fontId="0" fillId="0" borderId="1" xfId="0" applyFont="1" applyFill="1" applyBorder="1" applyAlignment="1" applyProtection="1">
      <alignment horizontal="right" wrapText="1"/>
    </xf>
    <xf numFmtId="0" fontId="0" fillId="0" borderId="0" xfId="0" applyAlignment="1" applyProtection="1">
      <alignment horizontal="right"/>
      <protection hidden="1"/>
    </xf>
    <xf numFmtId="0" fontId="19" fillId="0" borderId="0" xfId="0" applyFont="1" applyFill="1" applyBorder="1" applyProtection="1">
      <protection hidden="1"/>
    </xf>
    <xf numFmtId="0" fontId="19" fillId="0" borderId="0"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20" fillId="0" borderId="3" xfId="0" applyFont="1" applyFill="1" applyBorder="1" applyAlignment="1" applyProtection="1">
      <alignment horizontal="center" vertical="top" wrapText="1"/>
      <protection hidden="1"/>
    </xf>
    <xf numFmtId="0" fontId="20" fillId="0" borderId="4" xfId="0" applyFont="1" applyFill="1" applyBorder="1" applyAlignment="1" applyProtection="1">
      <alignment horizontal="center" vertical="top" wrapText="1"/>
      <protection hidden="1"/>
    </xf>
    <xf numFmtId="0" fontId="20" fillId="0" borderId="0" xfId="0" applyFont="1" applyFill="1" applyBorder="1" applyAlignment="1" applyProtection="1">
      <alignment horizontal="center" vertical="top" wrapText="1"/>
      <protection hidden="1"/>
    </xf>
    <xf numFmtId="0" fontId="19" fillId="3" borderId="0" xfId="0" applyFont="1" applyFill="1" applyBorder="1" applyAlignment="1" applyProtection="1">
      <alignment horizontal="center"/>
      <protection hidden="1"/>
    </xf>
    <xf numFmtId="0" fontId="19" fillId="0" borderId="0" xfId="0" applyFont="1" applyFill="1" applyBorder="1" applyAlignment="1">
      <alignment horizontal="center" wrapText="1"/>
    </xf>
    <xf numFmtId="1" fontId="19" fillId="3" borderId="0" xfId="0" applyNumberFormat="1" applyFont="1" applyFill="1" applyBorder="1" applyAlignment="1" applyProtection="1">
      <alignment horizontal="center"/>
      <protection hidden="1"/>
    </xf>
    <xf numFmtId="0" fontId="19" fillId="3" borderId="0" xfId="0" applyFont="1" applyFill="1" applyBorder="1" applyProtection="1">
      <protection hidden="1"/>
    </xf>
    <xf numFmtId="0" fontId="21" fillId="0" borderId="0" xfId="0" applyFont="1" applyFill="1" applyBorder="1" applyAlignment="1" applyProtection="1">
      <alignment vertical="top" wrapText="1"/>
      <protection hidden="1"/>
    </xf>
    <xf numFmtId="0" fontId="19" fillId="0" borderId="0" xfId="0" applyFont="1" applyFill="1" applyBorder="1" applyAlignment="1">
      <alignment horizontal="left" vertical="center" wrapText="1"/>
    </xf>
    <xf numFmtId="0" fontId="20" fillId="0" borderId="5" xfId="0" applyFont="1" applyFill="1" applyBorder="1" applyAlignment="1" applyProtection="1">
      <alignment horizontal="center" vertical="top" wrapText="1"/>
      <protection hidden="1"/>
    </xf>
    <xf numFmtId="0" fontId="19" fillId="0" borderId="6" xfId="0" applyFont="1" applyFill="1" applyBorder="1" applyAlignment="1">
      <alignment wrapText="1"/>
    </xf>
    <xf numFmtId="0" fontId="19" fillId="0" borderId="7" xfId="0" applyFont="1" applyFill="1" applyBorder="1" applyAlignment="1">
      <alignment wrapText="1"/>
    </xf>
    <xf numFmtId="0" fontId="19" fillId="0" borderId="0" xfId="0" applyFont="1" applyFill="1" applyBorder="1"/>
    <xf numFmtId="0" fontId="19" fillId="0" borderId="4" xfId="0" applyFont="1" applyFill="1" applyBorder="1" applyAlignment="1">
      <alignment wrapText="1"/>
    </xf>
    <xf numFmtId="0" fontId="19" fillId="0" borderId="4" xfId="0" applyFont="1" applyFill="1" applyBorder="1" applyAlignment="1" applyProtection="1">
      <alignment wrapText="1"/>
      <protection hidden="1"/>
    </xf>
    <xf numFmtId="0" fontId="19" fillId="0" borderId="0" xfId="0" applyFont="1" applyFill="1" applyBorder="1" applyAlignment="1">
      <alignment vertical="center" wrapText="1"/>
    </xf>
    <xf numFmtId="0" fontId="19" fillId="0" borderId="0" xfId="0" applyFont="1" applyFill="1" applyBorder="1" applyAlignment="1"/>
    <xf numFmtId="0" fontId="19" fillId="0" borderId="0" xfId="0" applyFont="1" applyFill="1" applyBorder="1" applyAlignment="1">
      <alignment vertical="center"/>
    </xf>
    <xf numFmtId="0" fontId="19" fillId="3" borderId="0" xfId="0" applyFont="1" applyFill="1" applyBorder="1" applyAlignment="1" applyProtection="1">
      <alignment vertical="center"/>
      <protection hidden="1"/>
    </xf>
    <xf numFmtId="0" fontId="19" fillId="0" borderId="0" xfId="0" applyFont="1" applyFill="1" applyBorder="1" applyAlignment="1" applyProtection="1">
      <alignment vertical="center"/>
      <protection hidden="1"/>
    </xf>
    <xf numFmtId="165" fontId="19" fillId="3" borderId="0" xfId="0" applyNumberFormat="1" applyFont="1" applyFill="1" applyBorder="1" applyProtection="1">
      <protection hidden="1"/>
    </xf>
    <xf numFmtId="0" fontId="7" fillId="0" borderId="0" xfId="0" applyFont="1" applyFill="1" applyBorder="1" applyProtection="1">
      <protection hidden="1"/>
    </xf>
    <xf numFmtId="0" fontId="19" fillId="0" borderId="0" xfId="0" applyFont="1" applyFill="1" applyBorder="1" applyAlignment="1">
      <alignment wrapText="1"/>
    </xf>
    <xf numFmtId="0" fontId="20" fillId="0" borderId="1" xfId="0" applyFont="1" applyFill="1" applyBorder="1" applyAlignment="1" applyProtection="1">
      <alignment horizontal="center" vertical="top" wrapText="1"/>
      <protection hidden="1"/>
    </xf>
    <xf numFmtId="0" fontId="22" fillId="0" borderId="4" xfId="0" applyFont="1" applyFill="1" applyBorder="1" applyAlignment="1" applyProtection="1">
      <alignment horizontal="left" vertical="top" wrapText="1"/>
      <protection hidden="1"/>
    </xf>
    <xf numFmtId="0" fontId="23" fillId="0" borderId="8" xfId="0" applyFont="1" applyBorder="1" applyAlignment="1" applyProtection="1">
      <alignment horizontal="center" vertical="top" wrapText="1"/>
      <protection hidden="1"/>
    </xf>
    <xf numFmtId="0" fontId="0" fillId="0" borderId="9" xfId="0" applyBorder="1" applyAlignment="1" applyProtection="1">
      <alignment wrapText="1"/>
      <protection hidden="1"/>
    </xf>
    <xf numFmtId="0" fontId="23" fillId="0" borderId="3" xfId="0" applyFont="1" applyBorder="1" applyAlignment="1" applyProtection="1">
      <alignment horizontal="center" vertical="top" wrapText="1"/>
      <protection hidden="1"/>
    </xf>
    <xf numFmtId="0" fontId="0" fillId="0" borderId="4" xfId="0" applyBorder="1" applyAlignment="1" applyProtection="1">
      <alignment wrapText="1"/>
      <protection hidden="1"/>
    </xf>
    <xf numFmtId="0" fontId="23" fillId="0" borderId="5" xfId="0" applyFont="1" applyBorder="1" applyAlignment="1" applyProtection="1">
      <alignment horizontal="center" vertical="top" wrapText="1"/>
      <protection hidden="1"/>
    </xf>
    <xf numFmtId="0" fontId="24" fillId="0" borderId="0" xfId="0" applyFont="1" applyAlignment="1" applyProtection="1">
      <protection hidden="1"/>
    </xf>
    <xf numFmtId="166" fontId="7" fillId="0" borderId="0" xfId="0" applyNumberFormat="1" applyFont="1" applyFill="1" applyBorder="1" applyProtection="1">
      <protection hidden="1"/>
    </xf>
    <xf numFmtId="167" fontId="7" fillId="0" borderId="0" xfId="0" applyNumberFormat="1" applyFont="1" applyFill="1" applyBorder="1" applyProtection="1">
      <protection hidden="1"/>
    </xf>
    <xf numFmtId="0" fontId="0" fillId="0" borderId="0" xfId="0" applyFill="1" applyBorder="1"/>
    <xf numFmtId="1" fontId="0" fillId="0" borderId="0" xfId="0" applyNumberFormat="1" applyFill="1" applyBorder="1" applyAlignment="1">
      <alignment horizontal="left"/>
    </xf>
    <xf numFmtId="165" fontId="0" fillId="0" borderId="0" xfId="0" applyNumberFormat="1" applyFill="1" applyBorder="1"/>
    <xf numFmtId="0" fontId="18" fillId="0" borderId="0" xfId="0" applyFont="1" applyFill="1" applyBorder="1" applyAlignment="1" applyProtection="1">
      <alignment horizontal="left" vertical="center" wrapText="1"/>
    </xf>
    <xf numFmtId="0" fontId="0" fillId="0" borderId="0" xfId="0" applyFont="1" applyFill="1" applyBorder="1"/>
    <xf numFmtId="1" fontId="0" fillId="0" borderId="0" xfId="0" applyNumberFormat="1" applyAlignment="1">
      <alignment horizontal="left"/>
    </xf>
    <xf numFmtId="165" fontId="0" fillId="0" borderId="0" xfId="0" applyNumberFormat="1"/>
    <xf numFmtId="0" fontId="0" fillId="0" borderId="0" xfId="0" applyFill="1"/>
    <xf numFmtId="1" fontId="0" fillId="0" borderId="0" xfId="0" applyNumberFormat="1" applyFill="1" applyAlignment="1">
      <alignment horizontal="left"/>
    </xf>
    <xf numFmtId="165" fontId="0" fillId="0" borderId="0" xfId="0" applyNumberFormat="1" applyFill="1"/>
    <xf numFmtId="1" fontId="0" fillId="4" borderId="0" xfId="0" applyNumberFormat="1" applyFill="1" applyAlignment="1">
      <alignment horizontal="left"/>
    </xf>
    <xf numFmtId="165" fontId="0" fillId="4" borderId="0" xfId="0" applyNumberFormat="1" applyFill="1" applyAlignment="1">
      <alignment horizontal="left"/>
    </xf>
    <xf numFmtId="165" fontId="0" fillId="5" borderId="0" xfId="0" applyNumberFormat="1" applyFill="1" applyAlignment="1">
      <alignment horizontal="left"/>
    </xf>
    <xf numFmtId="0" fontId="23" fillId="6" borderId="1" xfId="0" applyFont="1" applyFill="1" applyBorder="1" applyAlignment="1" applyProtection="1">
      <alignment horizontal="center" vertical="top" wrapText="1"/>
      <protection hidden="1"/>
    </xf>
    <xf numFmtId="0" fontId="23" fillId="0" borderId="1" xfId="0" applyFont="1" applyFill="1" applyBorder="1" applyAlignment="1" applyProtection="1">
      <alignment horizontal="center" vertical="top" wrapText="1"/>
      <protection hidden="1"/>
    </xf>
    <xf numFmtId="165" fontId="23" fillId="0" borderId="1" xfId="0" applyNumberFormat="1" applyFont="1" applyBorder="1" applyAlignment="1" applyProtection="1">
      <alignment horizontal="center" vertical="top" wrapText="1"/>
      <protection hidden="1"/>
    </xf>
    <xf numFmtId="0" fontId="24" fillId="0" borderId="0" xfId="0" applyFont="1" applyFill="1" applyBorder="1" applyAlignment="1" applyProtection="1">
      <protection hidden="1"/>
    </xf>
    <xf numFmtId="0" fontId="0" fillId="0" borderId="10" xfId="0" applyBorder="1" applyAlignment="1" applyProtection="1">
      <alignment wrapText="1"/>
      <protection hidden="1"/>
    </xf>
    <xf numFmtId="0" fontId="25" fillId="0" borderId="0" xfId="0" applyFont="1" applyFill="1" applyBorder="1" applyAlignment="1" applyProtection="1">
      <alignment horizontal="left" vertical="center"/>
    </xf>
    <xf numFmtId="0" fontId="0" fillId="0" borderId="0" xfId="0" applyFill="1" applyBorder="1" applyAlignment="1">
      <alignment horizontal="left" vertical="center"/>
    </xf>
    <xf numFmtId="0" fontId="26" fillId="0" borderId="0" xfId="0" applyFont="1" applyFill="1" applyBorder="1" applyAlignment="1" applyProtection="1">
      <alignment horizontal="center" vertical="center"/>
    </xf>
    <xf numFmtId="0" fontId="19" fillId="0" borderId="0" xfId="0" applyFont="1" applyFill="1" applyBorder="1" applyAlignment="1">
      <alignment horizontal="center" vertical="center"/>
    </xf>
    <xf numFmtId="0" fontId="0" fillId="0" borderId="0" xfId="0" applyFill="1" applyBorder="1" applyAlignment="1" applyProtection="1">
      <protection hidden="1"/>
    </xf>
    <xf numFmtId="0" fontId="23" fillId="0" borderId="0" xfId="0" applyFont="1" applyFill="1" applyBorder="1" applyAlignment="1" applyProtection="1">
      <alignment horizontal="center" vertical="top"/>
      <protection hidden="1"/>
    </xf>
    <xf numFmtId="0" fontId="0" fillId="0" borderId="0" xfId="0" applyFill="1" applyBorder="1" applyAlignment="1"/>
    <xf numFmtId="0" fontId="7" fillId="0" borderId="0" xfId="0" applyFont="1" applyFill="1" applyBorder="1" applyAlignment="1" applyProtection="1">
      <protection hidden="1"/>
    </xf>
    <xf numFmtId="0" fontId="23" fillId="0" borderId="1" xfId="0" applyFont="1" applyBorder="1" applyAlignment="1" applyProtection="1">
      <alignment horizontal="center" vertical="top" wrapText="1"/>
      <protection hidden="1"/>
    </xf>
    <xf numFmtId="0" fontId="23" fillId="6" borderId="11" xfId="0" applyFont="1" applyFill="1" applyBorder="1" applyAlignment="1" applyProtection="1">
      <alignment horizontal="center" vertical="top" wrapText="1"/>
      <protection hidden="1"/>
    </xf>
    <xf numFmtId="0" fontId="27" fillId="6" borderId="12" xfId="0" applyFont="1" applyFill="1" applyBorder="1" applyAlignment="1" applyProtection="1">
      <alignment horizontal="center" vertical="top" wrapText="1"/>
      <protection hidden="1"/>
    </xf>
    <xf numFmtId="1" fontId="0" fillId="4" borderId="0" xfId="0" applyNumberFormat="1" applyFill="1"/>
    <xf numFmtId="0" fontId="23" fillId="0" borderId="13" xfId="0" applyFont="1" applyBorder="1" applyAlignment="1" applyProtection="1">
      <alignment horizontal="center" vertical="top" wrapText="1"/>
      <protection hidden="1"/>
    </xf>
    <xf numFmtId="0" fontId="0" fillId="0" borderId="13" xfId="0" applyBorder="1" applyAlignment="1">
      <alignment wrapText="1"/>
    </xf>
    <xf numFmtId="0" fontId="0" fillId="0" borderId="0" xfId="0" applyBorder="1"/>
    <xf numFmtId="0" fontId="0" fillId="0" borderId="1" xfId="0" applyFont="1" applyFill="1" applyBorder="1" applyAlignment="1">
      <alignment wrapText="1"/>
    </xf>
    <xf numFmtId="0" fontId="0" fillId="0" borderId="1" xfId="0" applyFill="1" applyBorder="1" applyAlignment="1">
      <alignment wrapText="1"/>
    </xf>
    <xf numFmtId="0" fontId="25" fillId="0" borderId="0" xfId="0" applyFont="1" applyFill="1" applyBorder="1" applyAlignment="1" applyProtection="1">
      <alignment vertical="center"/>
    </xf>
    <xf numFmtId="0" fontId="0" fillId="0" borderId="0" xfId="0" applyFill="1" applyBorder="1" applyAlignment="1">
      <alignment vertical="center"/>
    </xf>
    <xf numFmtId="165" fontId="23" fillId="0" borderId="1" xfId="0" applyNumberFormat="1" applyFont="1" applyFill="1" applyBorder="1" applyAlignment="1" applyProtection="1">
      <alignment horizontal="center" vertical="top" wrapText="1"/>
      <protection hidden="1"/>
    </xf>
    <xf numFmtId="0" fontId="0" fillId="0" borderId="4" xfId="0" applyBorder="1" applyAlignment="1">
      <alignment wrapText="1"/>
    </xf>
    <xf numFmtId="0" fontId="26" fillId="7" borderId="14" xfId="0" applyFont="1" applyFill="1" applyBorder="1" applyAlignment="1" applyProtection="1">
      <alignment vertical="center"/>
    </xf>
    <xf numFmtId="0" fontId="26" fillId="7" borderId="15" xfId="0" applyFont="1" applyFill="1" applyBorder="1" applyAlignment="1" applyProtection="1">
      <alignment vertical="center"/>
    </xf>
    <xf numFmtId="0" fontId="26" fillId="7" borderId="16" xfId="0" applyFont="1" applyFill="1" applyBorder="1" applyAlignment="1" applyProtection="1">
      <alignment vertical="center"/>
    </xf>
    <xf numFmtId="0" fontId="19" fillId="2" borderId="17" xfId="0" applyFont="1" applyFill="1" applyBorder="1" applyAlignment="1">
      <alignment vertical="center"/>
    </xf>
    <xf numFmtId="0" fontId="25" fillId="2" borderId="18" xfId="0" applyFont="1" applyFill="1" applyBorder="1" applyAlignment="1" applyProtection="1">
      <alignment vertical="center"/>
    </xf>
    <xf numFmtId="0" fontId="0" fillId="2" borderId="19" xfId="0" applyFill="1" applyBorder="1" applyAlignment="1">
      <alignment vertical="center"/>
    </xf>
    <xf numFmtId="0" fontId="25" fillId="2" borderId="20" xfId="0" applyFont="1" applyFill="1" applyBorder="1" applyAlignment="1" applyProtection="1">
      <alignment vertical="center"/>
    </xf>
    <xf numFmtId="0" fontId="0" fillId="2" borderId="16" xfId="0" applyFill="1" applyBorder="1" applyAlignment="1">
      <alignment vertical="center"/>
    </xf>
    <xf numFmtId="0" fontId="25" fillId="2" borderId="14" xfId="0" applyFont="1" applyFill="1" applyBorder="1" applyAlignment="1" applyProtection="1">
      <alignment vertical="center"/>
    </xf>
    <xf numFmtId="0" fontId="25" fillId="2" borderId="15" xfId="0" applyFont="1" applyFill="1" applyBorder="1" applyAlignment="1" applyProtection="1">
      <alignment vertical="center"/>
    </xf>
    <xf numFmtId="0" fontId="25" fillId="2" borderId="21" xfId="0" applyFont="1" applyFill="1" applyBorder="1" applyAlignment="1" applyProtection="1">
      <alignment vertical="center"/>
    </xf>
    <xf numFmtId="0" fontId="28" fillId="0" borderId="0" xfId="0" applyFont="1" applyAlignment="1">
      <alignment horizontal="center"/>
    </xf>
    <xf numFmtId="0" fontId="23" fillId="0" borderId="1" xfId="0" applyFont="1" applyBorder="1" applyAlignment="1" applyProtection="1">
      <alignment horizontal="center" vertical="top" wrapText="1"/>
      <protection hidden="1"/>
    </xf>
    <xf numFmtId="0" fontId="0" fillId="0" borderId="0" xfId="0" applyAlignment="1"/>
    <xf numFmtId="0" fontId="18" fillId="0" borderId="1" xfId="0" applyFont="1" applyBorder="1" applyAlignment="1">
      <alignment horizontal="center" vertical="center"/>
    </xf>
    <xf numFmtId="0" fontId="0" fillId="0" borderId="22" xfId="0" applyFill="1" applyBorder="1" applyAlignment="1">
      <alignment horizontal="left" vertical="center" wrapText="1"/>
    </xf>
    <xf numFmtId="0" fontId="26" fillId="0" borderId="22" xfId="0" applyFont="1" applyFill="1" applyBorder="1" applyAlignment="1" applyProtection="1">
      <alignment horizontal="center" vertical="center"/>
    </xf>
    <xf numFmtId="0" fontId="0" fillId="0" borderId="23" xfId="0" applyFill="1" applyBorder="1" applyAlignment="1">
      <alignment horizontal="left" vertical="center" wrapText="1"/>
    </xf>
    <xf numFmtId="0" fontId="26" fillId="0" borderId="2" xfId="0" applyFont="1" applyFill="1" applyBorder="1" applyAlignment="1" applyProtection="1">
      <alignment horizontal="center" vertical="center"/>
    </xf>
    <xf numFmtId="0" fontId="26" fillId="0" borderId="23" xfId="0" applyFont="1" applyFill="1" applyBorder="1" applyAlignment="1" applyProtection="1">
      <alignment horizontal="center" vertical="center"/>
    </xf>
    <xf numFmtId="0" fontId="23" fillId="6" borderId="1" xfId="0" applyFont="1" applyFill="1" applyBorder="1" applyAlignment="1" applyProtection="1">
      <alignment horizontal="center" vertical="top" wrapText="1"/>
      <protection hidden="1"/>
    </xf>
    <xf numFmtId="0" fontId="0" fillId="0" borderId="1" xfId="0" applyBorder="1" applyAlignment="1">
      <alignment wrapText="1"/>
    </xf>
    <xf numFmtId="165" fontId="0" fillId="4" borderId="0" xfId="0" applyNumberFormat="1" applyFill="1"/>
    <xf numFmtId="1" fontId="0" fillId="4" borderId="0" xfId="0" applyNumberFormat="1" applyFill="1" applyBorder="1" applyAlignment="1">
      <alignment horizontal="left"/>
    </xf>
    <xf numFmtId="165" fontId="0" fillId="4" borderId="0" xfId="0" applyNumberFormat="1" applyFill="1" applyBorder="1"/>
    <xf numFmtId="0" fontId="25" fillId="0" borderId="24" xfId="0" applyFont="1" applyFill="1" applyBorder="1" applyAlignment="1" applyProtection="1">
      <alignment horizontal="left" vertical="center" wrapText="1"/>
    </xf>
    <xf numFmtId="0" fontId="0" fillId="0" borderId="25" xfId="0" applyFill="1" applyBorder="1" applyAlignment="1"/>
    <xf numFmtId="0" fontId="23" fillId="6" borderId="26" xfId="0" applyFont="1" applyFill="1" applyBorder="1" applyAlignment="1" applyProtection="1">
      <alignment horizontal="center" vertical="top" wrapText="1"/>
      <protection hidden="1"/>
    </xf>
    <xf numFmtId="0" fontId="25" fillId="0" borderId="26" xfId="0" applyFont="1" applyFill="1" applyBorder="1" applyAlignment="1" applyProtection="1">
      <alignment horizontal="left" vertical="center" wrapText="1"/>
    </xf>
    <xf numFmtId="0" fontId="0" fillId="5" borderId="27" xfId="0" applyFill="1" applyBorder="1" applyAlignment="1">
      <alignment horizontal="center" vertical="center"/>
    </xf>
    <xf numFmtId="0" fontId="18" fillId="0" borderId="26" xfId="0" applyFont="1" applyBorder="1" applyAlignment="1">
      <alignment horizontal="center" vertical="center"/>
    </xf>
    <xf numFmtId="0" fontId="18" fillId="5" borderId="27" xfId="0" applyFont="1" applyFill="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0" fillId="5" borderId="27" xfId="0" applyFont="1" applyFill="1" applyBorder="1" applyAlignment="1">
      <alignment horizontal="center" vertical="center" wrapText="1"/>
    </xf>
    <xf numFmtId="0" fontId="17" fillId="0" borderId="0" xfId="0" applyFont="1" applyProtection="1">
      <protection hidden="1"/>
    </xf>
    <xf numFmtId="0" fontId="22" fillId="0" borderId="4" xfId="0" applyFont="1" applyFill="1" applyBorder="1" applyAlignment="1" applyProtection="1">
      <alignment horizontal="left" wrapText="1"/>
      <protection hidden="1"/>
    </xf>
    <xf numFmtId="0" fontId="23" fillId="0" borderId="3" xfId="0" applyFont="1" applyBorder="1" applyAlignment="1">
      <alignment horizontal="center" vertical="top"/>
    </xf>
    <xf numFmtId="0" fontId="23" fillId="0" borderId="30" xfId="0" applyFont="1" applyBorder="1" applyAlignment="1" applyProtection="1">
      <alignment horizontal="center" vertical="top" wrapText="1"/>
      <protection hidden="1"/>
    </xf>
    <xf numFmtId="0" fontId="0" fillId="0" borderId="2" xfId="0" applyFont="1" applyFill="1" applyBorder="1" applyAlignment="1" applyProtection="1">
      <alignment horizontal="right" wrapText="1"/>
    </xf>
    <xf numFmtId="3" fontId="18" fillId="0" borderId="1" xfId="0" applyNumberFormat="1" applyFont="1" applyFill="1" applyBorder="1" applyAlignment="1" applyProtection="1">
      <alignment horizontal="left" wrapText="1"/>
    </xf>
    <xf numFmtId="0" fontId="0" fillId="0" borderId="1" xfId="0" applyFill="1" applyBorder="1" applyProtection="1">
      <protection locked="0"/>
    </xf>
    <xf numFmtId="3" fontId="0" fillId="0" borderId="1" xfId="0" applyNumberFormat="1" applyFill="1" applyBorder="1" applyAlignment="1" applyProtection="1">
      <alignment horizontal="left"/>
      <protection locked="0"/>
    </xf>
    <xf numFmtId="3" fontId="0" fillId="0" borderId="1" xfId="0" applyNumberFormat="1" applyFill="1" applyBorder="1" applyAlignment="1" applyProtection="1">
      <alignment horizontal="right" wrapText="1"/>
      <protection locked="0"/>
    </xf>
    <xf numFmtId="164" fontId="0" fillId="0" borderId="1" xfId="0" applyNumberFormat="1" applyBorder="1" applyAlignment="1" applyProtection="1">
      <alignment horizontal="left"/>
    </xf>
    <xf numFmtId="0" fontId="19" fillId="8" borderId="0" xfId="0" applyFont="1" applyFill="1" applyProtection="1">
      <protection hidden="1"/>
    </xf>
    <xf numFmtId="0" fontId="19" fillId="5" borderId="0" xfId="0" applyFont="1" applyFill="1" applyProtection="1">
      <protection hidden="1"/>
    </xf>
    <xf numFmtId="0" fontId="19" fillId="0" borderId="0" xfId="0" applyFont="1" applyProtection="1">
      <protection hidden="1"/>
    </xf>
    <xf numFmtId="165" fontId="19" fillId="8" borderId="0" xfId="0" applyNumberFormat="1" applyFont="1" applyFill="1" applyProtection="1">
      <protection hidden="1"/>
    </xf>
    <xf numFmtId="0" fontId="26" fillId="9" borderId="20" xfId="0" applyFont="1" applyFill="1" applyBorder="1" applyAlignment="1" applyProtection="1">
      <alignment horizontal="left" vertical="center"/>
    </xf>
    <xf numFmtId="0" fontId="19" fillId="0" borderId="16" xfId="0" applyFont="1" applyFill="1" applyBorder="1" applyAlignment="1">
      <alignment horizontal="left" vertical="center"/>
    </xf>
    <xf numFmtId="0" fontId="26" fillId="9" borderId="16" xfId="0" applyFont="1" applyFill="1" applyBorder="1" applyAlignment="1" applyProtection="1">
      <alignment horizontal="center" vertical="center"/>
    </xf>
    <xf numFmtId="0" fontId="19" fillId="0" borderId="17" xfId="0" applyFont="1" applyFill="1" applyBorder="1" applyAlignment="1">
      <alignment horizontal="center" vertical="center"/>
    </xf>
    <xf numFmtId="0" fontId="20" fillId="0" borderId="31" xfId="0" applyFont="1" applyFill="1" applyBorder="1" applyAlignment="1" applyProtection="1">
      <alignment horizontal="center" vertical="top" wrapText="1"/>
      <protection hidden="1"/>
    </xf>
    <xf numFmtId="0" fontId="0" fillId="0" borderId="32" xfId="0" applyBorder="1" applyAlignment="1"/>
    <xf numFmtId="0" fontId="0" fillId="0" borderId="48" xfId="0" applyBorder="1" applyAlignment="1"/>
    <xf numFmtId="0" fontId="0" fillId="0" borderId="49" xfId="0" applyBorder="1" applyAlignment="1"/>
    <xf numFmtId="0" fontId="19" fillId="0" borderId="31" xfId="0" applyFont="1" applyFill="1" applyBorder="1" applyAlignment="1"/>
    <xf numFmtId="0" fontId="0" fillId="0" borderId="39" xfId="0" applyBorder="1" applyAlignment="1"/>
    <xf numFmtId="0" fontId="0" fillId="0" borderId="40" xfId="0" applyBorder="1" applyAlignment="1"/>
    <xf numFmtId="0" fontId="19" fillId="0" borderId="18" xfId="0" applyFont="1" applyFill="1" applyBorder="1" applyAlignment="1"/>
    <xf numFmtId="0" fontId="0" fillId="0" borderId="50" xfId="0" applyBorder="1" applyAlignment="1"/>
    <xf numFmtId="0" fontId="0" fillId="0" borderId="32" xfId="0" applyBorder="1" applyAlignment="1">
      <alignment wrapText="1"/>
    </xf>
    <xf numFmtId="0" fontId="0" fillId="0" borderId="33" xfId="0" applyBorder="1" applyAlignment="1">
      <alignment wrapText="1"/>
    </xf>
    <xf numFmtId="0" fontId="0" fillId="0" borderId="34" xfId="0" applyBorder="1" applyAlignment="1">
      <alignment wrapText="1"/>
    </xf>
    <xf numFmtId="0" fontId="0" fillId="0" borderId="35" xfId="0" applyBorder="1" applyAlignment="1">
      <alignment wrapText="1"/>
    </xf>
    <xf numFmtId="0" fontId="0" fillId="0" borderId="36" xfId="0" applyBorder="1" applyAlignment="1">
      <alignment wrapText="1"/>
    </xf>
    <xf numFmtId="0" fontId="20" fillId="0" borderId="33" xfId="0" applyFont="1" applyFill="1" applyBorder="1" applyAlignment="1" applyProtection="1">
      <alignment horizontal="center" vertical="top" wrapText="1"/>
      <protection hidden="1"/>
    </xf>
    <xf numFmtId="0" fontId="0" fillId="0" borderId="34" xfId="0" applyBorder="1" applyAlignment="1"/>
    <xf numFmtId="0" fontId="0" fillId="0" borderId="33" xfId="0" applyBorder="1" applyAlignment="1"/>
    <xf numFmtId="0" fontId="0" fillId="0" borderId="35" xfId="0" applyBorder="1" applyAlignment="1"/>
    <xf numFmtId="0" fontId="0" fillId="0" borderId="36" xfId="0" applyBorder="1" applyAlignment="1"/>
    <xf numFmtId="0" fontId="26" fillId="9" borderId="14" xfId="0" applyFont="1" applyFill="1" applyBorder="1" applyAlignment="1" applyProtection="1">
      <alignment horizontal="left" vertical="center"/>
    </xf>
    <xf numFmtId="0" fontId="26" fillId="9" borderId="15" xfId="0" applyFont="1" applyFill="1" applyBorder="1" applyAlignment="1" applyProtection="1">
      <alignment horizontal="left" vertical="center"/>
    </xf>
    <xf numFmtId="0" fontId="0" fillId="0" borderId="31" xfId="0" applyBorder="1" applyAlignment="1"/>
    <xf numFmtId="0" fontId="31" fillId="9" borderId="41" xfId="0" applyFont="1" applyFill="1" applyBorder="1" applyAlignment="1" applyProtection="1">
      <alignment horizontal="center" vertical="center" wrapText="1"/>
    </xf>
    <xf numFmtId="0" fontId="19" fillId="0" borderId="42" xfId="0" applyFont="1" applyFill="1" applyBorder="1" applyAlignment="1">
      <alignment horizontal="center" vertical="center" wrapText="1"/>
    </xf>
    <xf numFmtId="0" fontId="19" fillId="0" borderId="31" xfId="0" applyFont="1" applyFill="1" applyBorder="1" applyAlignment="1" applyProtection="1">
      <alignment horizontal="center" wrapText="1"/>
      <protection hidden="1"/>
    </xf>
    <xf numFmtId="0" fontId="19" fillId="0" borderId="32" xfId="0" applyFont="1" applyFill="1" applyBorder="1" applyAlignment="1"/>
    <xf numFmtId="0" fontId="19" fillId="0" borderId="33" xfId="0" applyFont="1" applyFill="1" applyBorder="1" applyAlignment="1"/>
    <xf numFmtId="0" fontId="19" fillId="0" borderId="34" xfId="0" applyFont="1" applyFill="1" applyBorder="1" applyAlignment="1"/>
    <xf numFmtId="0" fontId="19" fillId="0" borderId="48" xfId="0" applyFont="1" applyFill="1" applyBorder="1" applyAlignment="1"/>
    <xf numFmtId="0" fontId="19" fillId="0" borderId="49" xfId="0" applyFont="1" applyFill="1" applyBorder="1" applyAlignment="1"/>
    <xf numFmtId="0" fontId="19" fillId="0" borderId="31" xfId="0" applyFont="1" applyFill="1" applyBorder="1" applyAlignment="1">
      <alignment horizontal="center" wrapText="1"/>
    </xf>
    <xf numFmtId="0" fontId="26" fillId="9" borderId="16" xfId="0" applyFont="1" applyFill="1" applyBorder="1" applyAlignment="1" applyProtection="1">
      <alignment horizontal="left" vertical="center"/>
    </xf>
    <xf numFmtId="0" fontId="26" fillId="9" borderId="17" xfId="0" applyFont="1" applyFill="1" applyBorder="1" applyAlignment="1" applyProtection="1">
      <alignment horizontal="center" vertical="center"/>
    </xf>
    <xf numFmtId="0" fontId="19" fillId="0" borderId="31" xfId="0" applyFont="1" applyFill="1" applyBorder="1" applyAlignment="1" applyProtection="1">
      <protection hidden="1"/>
    </xf>
    <xf numFmtId="0" fontId="0" fillId="0" borderId="47" xfId="0" applyBorder="1" applyAlignment="1" applyProtection="1">
      <alignment wrapText="1"/>
    </xf>
    <xf numFmtId="0" fontId="0" fillId="0" borderId="47" xfId="0" applyBorder="1" applyAlignment="1"/>
    <xf numFmtId="0" fontId="0" fillId="0" borderId="23" xfId="0" applyBorder="1" applyAlignment="1" applyProtection="1">
      <alignment horizontal="left" wrapText="1"/>
    </xf>
    <xf numFmtId="0" fontId="0" fillId="0" borderId="2" xfId="0" applyBorder="1" applyAlignment="1"/>
    <xf numFmtId="0" fontId="0" fillId="0" borderId="23" xfId="0" applyBorder="1" applyAlignment="1" applyProtection="1">
      <alignment wrapText="1"/>
    </xf>
    <xf numFmtId="0" fontId="0" fillId="0" borderId="23" xfId="0" applyFont="1" applyBorder="1" applyAlignment="1" applyProtection="1">
      <alignment horizontal="right" wrapText="1"/>
    </xf>
    <xf numFmtId="3" fontId="0" fillId="0" borderId="23" xfId="0" applyNumberFormat="1" applyFill="1" applyBorder="1" applyAlignment="1" applyProtection="1">
      <alignment horizontal="left" wrapText="1"/>
    </xf>
    <xf numFmtId="0" fontId="0" fillId="0" borderId="2" xfId="0" applyBorder="1" applyAlignment="1">
      <alignment horizontal="left" wrapText="1"/>
    </xf>
    <xf numFmtId="0" fontId="18" fillId="0" borderId="23"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xf>
    <xf numFmtId="0" fontId="0" fillId="0" borderId="2" xfId="0" applyBorder="1" applyAlignment="1" applyProtection="1">
      <alignment horizontal="left"/>
    </xf>
    <xf numFmtId="0" fontId="0" fillId="0" borderId="23"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3" xfId="0" applyFont="1" applyFill="1" applyBorder="1" applyAlignment="1" applyProtection="1">
      <alignment horizontal="left" wrapText="1"/>
    </xf>
    <xf numFmtId="0" fontId="25" fillId="6" borderId="23" xfId="0" applyFont="1" applyFill="1" applyBorder="1" applyAlignment="1" applyProtection="1">
      <alignment horizontal="left" vertical="center" wrapText="1"/>
    </xf>
    <xf numFmtId="0" fontId="25" fillId="6" borderId="2" xfId="0" applyFont="1" applyFill="1" applyBorder="1" applyAlignment="1">
      <alignment horizontal="left" vertical="center" wrapText="1"/>
    </xf>
    <xf numFmtId="0" fontId="0" fillId="0" borderId="23" xfId="0" applyFont="1" applyFill="1" applyBorder="1" applyAlignment="1" applyProtection="1">
      <alignment wrapText="1"/>
    </xf>
    <xf numFmtId="0" fontId="0" fillId="0" borderId="2" xfId="0" applyBorder="1" applyAlignment="1">
      <alignment wrapText="1"/>
    </xf>
    <xf numFmtId="3" fontId="0" fillId="0" borderId="23" xfId="0" applyNumberFormat="1" applyFill="1" applyBorder="1" applyAlignment="1" applyProtection="1">
      <alignment horizontal="left" wrapText="1"/>
      <protection locked="0"/>
    </xf>
    <xf numFmtId="3" fontId="25" fillId="6" borderId="23" xfId="0" applyNumberFormat="1" applyFont="1" applyFill="1" applyBorder="1" applyAlignment="1" applyProtection="1">
      <alignment horizontal="left" vertical="center" wrapText="1"/>
      <protection locked="0"/>
    </xf>
    <xf numFmtId="0" fontId="18" fillId="0" borderId="2" xfId="0" applyFont="1" applyBorder="1" applyAlignment="1">
      <alignment horizontal="left" vertical="center"/>
    </xf>
    <xf numFmtId="0" fontId="25" fillId="2" borderId="23" xfId="0" applyFont="1" applyFill="1" applyBorder="1" applyAlignment="1" applyProtection="1">
      <alignment horizontal="left" vertical="center" wrapText="1"/>
    </xf>
    <xf numFmtId="0" fontId="29" fillId="0" borderId="2" xfId="0" applyFont="1" applyBorder="1" applyAlignment="1">
      <alignment horizontal="left" vertical="center" wrapText="1"/>
    </xf>
    <xf numFmtId="0" fontId="30" fillId="2" borderId="23" xfId="0" applyFont="1" applyFill="1" applyBorder="1" applyAlignment="1" applyProtection="1">
      <alignment horizontal="center" vertical="center" wrapText="1"/>
    </xf>
    <xf numFmtId="0" fontId="0" fillId="2" borderId="2" xfId="0" applyFill="1" applyBorder="1" applyAlignment="1">
      <alignment horizontal="center" vertical="center" wrapText="1"/>
    </xf>
    <xf numFmtId="0" fontId="29" fillId="0" borderId="2" xfId="0" applyFont="1" applyBorder="1" applyAlignment="1">
      <alignment horizontal="left" vertical="center"/>
    </xf>
    <xf numFmtId="0" fontId="0" fillId="0" borderId="2" xfId="0" applyBorder="1" applyAlignment="1" applyProtection="1">
      <alignment horizontal="left" wrapText="1"/>
    </xf>
    <xf numFmtId="0" fontId="0" fillId="0" borderId="23" xfId="0" applyFill="1" applyBorder="1" applyAlignment="1" applyProtection="1">
      <alignment horizontal="left" wrapText="1"/>
      <protection locked="0"/>
    </xf>
    <xf numFmtId="0" fontId="0" fillId="0" borderId="2" xfId="0" applyFill="1" applyBorder="1" applyAlignment="1" applyProtection="1">
      <alignment horizontal="left" wrapText="1"/>
      <protection locked="0"/>
    </xf>
    <xf numFmtId="0" fontId="0" fillId="0" borderId="23" xfId="0" applyBorder="1" applyAlignment="1" applyProtection="1">
      <alignment horizontal="left"/>
    </xf>
    <xf numFmtId="0" fontId="0" fillId="0" borderId="1" xfId="0" applyBorder="1" applyAlignment="1" applyProtection="1">
      <alignment wrapText="1"/>
    </xf>
    <xf numFmtId="0" fontId="0" fillId="0" borderId="1" xfId="0" applyBorder="1" applyAlignment="1" applyProtection="1"/>
    <xf numFmtId="0" fontId="25" fillId="5" borderId="23" xfId="0" applyFont="1" applyFill="1" applyBorder="1" applyAlignment="1" applyProtection="1">
      <alignment horizontal="center" vertical="center" wrapText="1"/>
    </xf>
    <xf numFmtId="0" fontId="25" fillId="5" borderId="2" xfId="0" applyFont="1" applyFill="1" applyBorder="1" applyAlignment="1">
      <alignment horizontal="center" vertical="center"/>
    </xf>
    <xf numFmtId="0" fontId="18" fillId="0" borderId="23" xfId="0" applyFont="1" applyBorder="1" applyAlignment="1" applyProtection="1">
      <alignment horizontal="left" vertical="center" wrapText="1"/>
    </xf>
    <xf numFmtId="0" fontId="18" fillId="0" borderId="2" xfId="0" applyFont="1" applyBorder="1" applyAlignment="1" applyProtection="1">
      <alignment horizontal="left" vertical="center"/>
    </xf>
    <xf numFmtId="0" fontId="20" fillId="0" borderId="43" xfId="0" applyFont="1" applyFill="1" applyBorder="1" applyAlignment="1" applyProtection="1">
      <alignment horizontal="center" vertical="top" wrapText="1"/>
      <protection hidden="1"/>
    </xf>
    <xf numFmtId="0" fontId="0" fillId="0" borderId="43" xfId="0" applyBorder="1" applyAlignment="1"/>
    <xf numFmtId="0" fontId="0" fillId="0" borderId="44" xfId="0" applyBorder="1" applyAlignment="1"/>
    <xf numFmtId="0" fontId="20" fillId="0" borderId="45" xfId="0" applyFont="1" applyFill="1" applyBorder="1" applyAlignment="1" applyProtection="1">
      <alignment horizontal="center" vertical="top" wrapText="1"/>
      <protection hidden="1"/>
    </xf>
    <xf numFmtId="0" fontId="0" fillId="0" borderId="45" xfId="0" applyBorder="1" applyAlignment="1"/>
    <xf numFmtId="0" fontId="0" fillId="0" borderId="46" xfId="0" applyBorder="1" applyAlignment="1"/>
    <xf numFmtId="0" fontId="19" fillId="0" borderId="45" xfId="0" applyFont="1" applyFill="1" applyBorder="1" applyAlignment="1" applyProtection="1">
      <protection hidden="1"/>
    </xf>
    <xf numFmtId="0" fontId="20" fillId="0" borderId="43" xfId="0" applyFont="1" applyFill="1" applyBorder="1" applyAlignment="1" applyProtection="1">
      <alignment horizontal="center" vertical="top"/>
      <protection hidden="1"/>
    </xf>
    <xf numFmtId="0" fontId="0" fillId="0" borderId="23" xfId="0" applyFont="1" applyBorder="1" applyAlignment="1" applyProtection="1">
      <alignment horizontal="left" wrapText="1"/>
    </xf>
    <xf numFmtId="0" fontId="23" fillId="0" borderId="37" xfId="0" applyFont="1" applyBorder="1" applyAlignment="1" applyProtection="1">
      <alignment horizontal="center" vertical="top" wrapText="1"/>
      <protection hidden="1"/>
    </xf>
    <xf numFmtId="0" fontId="0" fillId="0" borderId="38" xfId="0" applyBorder="1" applyAlignment="1"/>
    <xf numFmtId="0" fontId="23" fillId="0" borderId="31" xfId="0" applyFont="1" applyBorder="1" applyAlignment="1" applyProtection="1">
      <alignment horizontal="center" vertical="top" wrapText="1"/>
      <protection hidden="1"/>
    </xf>
    <xf numFmtId="0" fontId="0" fillId="0" borderId="31" xfId="0" applyBorder="1" applyAlignment="1" applyProtection="1">
      <protection hidden="1"/>
    </xf>
    <xf numFmtId="0" fontId="0" fillId="0" borderId="37" xfId="0" applyBorder="1" applyAlignment="1" applyProtection="1">
      <protection hidden="1"/>
    </xf>
    <xf numFmtId="0" fontId="0" fillId="0" borderId="51" xfId="0" applyBorder="1" applyAlignment="1"/>
    <xf numFmtId="0" fontId="0" fillId="0" borderId="52" xfId="0" applyBorder="1" applyAlignment="1"/>
    <xf numFmtId="0" fontId="25" fillId="2" borderId="18" xfId="0" applyFont="1" applyFill="1" applyBorder="1" applyAlignment="1" applyProtection="1">
      <alignment horizontal="left" vertical="center"/>
    </xf>
    <xf numFmtId="0" fontId="0" fillId="0" borderId="19" xfId="0" applyBorder="1" applyAlignment="1">
      <alignment horizontal="left" vertical="center"/>
    </xf>
    <xf numFmtId="0" fontId="23" fillId="0" borderId="53" xfId="0" applyFont="1" applyBorder="1" applyAlignment="1" applyProtection="1">
      <alignment horizontal="center" vertical="top" wrapText="1"/>
      <protection hidden="1"/>
    </xf>
    <xf numFmtId="0" fontId="0" fillId="0" borderId="54" xfId="0" applyBorder="1" applyAlignment="1"/>
    <xf numFmtId="0" fontId="0" fillId="0" borderId="53" xfId="0" applyBorder="1" applyAlignment="1" applyProtection="1">
      <protection hidden="1"/>
    </xf>
    <xf numFmtId="0" fontId="0" fillId="0" borderId="31" xfId="0" applyBorder="1" applyAlignment="1" applyProtection="1">
      <alignment horizontal="center"/>
      <protection hidden="1"/>
    </xf>
    <xf numFmtId="0" fontId="0" fillId="0" borderId="32" xfId="0" applyBorder="1" applyAlignment="1" applyProtection="1">
      <alignment horizontal="center"/>
      <protection hidden="1"/>
    </xf>
    <xf numFmtId="0" fontId="0" fillId="0" borderId="33" xfId="0" applyBorder="1" applyAlignment="1" applyProtection="1">
      <alignment horizontal="center"/>
      <protection hidden="1"/>
    </xf>
    <xf numFmtId="0" fontId="0" fillId="0" borderId="34" xfId="0" applyBorder="1" applyAlignment="1" applyProtection="1">
      <alignment horizontal="center"/>
      <protection hidden="1"/>
    </xf>
    <xf numFmtId="0" fontId="0" fillId="0" borderId="35" xfId="0" applyBorder="1" applyAlignment="1" applyProtection="1">
      <alignment horizontal="center"/>
      <protection hidden="1"/>
    </xf>
    <xf numFmtId="0" fontId="0" fillId="0" borderId="36" xfId="0" applyBorder="1" applyAlignment="1" applyProtection="1">
      <alignment horizontal="center"/>
      <protection hidden="1"/>
    </xf>
    <xf numFmtId="0" fontId="0" fillId="0" borderId="41" xfId="0" applyBorder="1" applyAlignment="1" applyProtection="1">
      <protection hidden="1"/>
    </xf>
    <xf numFmtId="0" fontId="0" fillId="0" borderId="42" xfId="0" applyBorder="1" applyAlignment="1"/>
    <xf numFmtId="0" fontId="23" fillId="0" borderId="41" xfId="0" applyFont="1" applyBorder="1" applyAlignment="1" applyProtection="1">
      <alignment horizontal="center" vertical="top" wrapText="1"/>
      <protection hidden="1"/>
    </xf>
    <xf numFmtId="0" fontId="30" fillId="2" borderId="1" xfId="0" applyFont="1" applyFill="1" applyBorder="1" applyAlignment="1" applyProtection="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wrapText="1"/>
    </xf>
    <xf numFmtId="0" fontId="23" fillId="0" borderId="1" xfId="0" applyFont="1" applyBorder="1" applyAlignment="1" applyProtection="1">
      <alignment horizontal="center" vertical="top" wrapText="1"/>
      <protection hidden="1"/>
    </xf>
    <xf numFmtId="0" fontId="0" fillId="0" borderId="1" xfId="0" applyBorder="1" applyAlignment="1">
      <alignment horizontal="center" vertical="top" wrapText="1"/>
    </xf>
    <xf numFmtId="1" fontId="23" fillId="0" borderId="1" xfId="0" applyNumberFormat="1" applyFont="1" applyBorder="1" applyAlignment="1" applyProtection="1">
      <alignment horizontal="center" vertical="center" wrapText="1"/>
      <protection hidden="1"/>
    </xf>
    <xf numFmtId="0" fontId="23" fillId="6" borderId="1" xfId="0" applyFont="1" applyFill="1" applyBorder="1" applyAlignment="1" applyProtection="1">
      <alignment horizontal="center" vertical="top" wrapText="1"/>
      <protection hidden="1"/>
    </xf>
    <xf numFmtId="0" fontId="0" fillId="0" borderId="1" xfId="0" applyBorder="1" applyAlignment="1"/>
    <xf numFmtId="0" fontId="23" fillId="0" borderId="1" xfId="0" applyFont="1" applyFill="1" applyBorder="1" applyAlignment="1" applyProtection="1">
      <alignment horizontal="center" vertical="top" wrapText="1"/>
      <protection hidden="1"/>
    </xf>
    <xf numFmtId="0" fontId="25" fillId="2" borderId="1" xfId="0" applyFont="1" applyFill="1" applyBorder="1" applyAlignment="1" applyProtection="1">
      <alignment horizontal="left" vertical="center"/>
    </xf>
    <xf numFmtId="0" fontId="0" fillId="0" borderId="1" xfId="0" applyBorder="1" applyAlignment="1">
      <alignment horizontal="left" vertical="center"/>
    </xf>
    <xf numFmtId="3" fontId="23" fillId="0" borderId="0" xfId="0" applyNumberFormat="1" applyFont="1" applyFill="1" applyBorder="1" applyAlignment="1" applyProtection="1">
      <alignment horizontal="center" vertical="center" wrapText="1"/>
    </xf>
    <xf numFmtId="0" fontId="28" fillId="0" borderId="0" xfId="0" applyFont="1" applyAlignment="1">
      <alignment horizontal="center"/>
    </xf>
    <xf numFmtId="0" fontId="0" fillId="0" borderId="1" xfId="0" applyBorder="1" applyAlignment="1">
      <alignment horizontal="left" wrapText="1"/>
    </xf>
    <xf numFmtId="0" fontId="0" fillId="0" borderId="1" xfId="0" applyBorder="1" applyAlignment="1">
      <alignment wrapText="1"/>
    </xf>
    <xf numFmtId="0" fontId="26" fillId="9" borderId="1" xfId="0" applyFont="1" applyFill="1" applyBorder="1" applyAlignment="1" applyProtection="1">
      <alignment horizontal="center" vertical="center"/>
    </xf>
    <xf numFmtId="0" fontId="25" fillId="2" borderId="1" xfId="0" applyFont="1" applyFill="1" applyBorder="1" applyAlignment="1" applyProtection="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xf>
    <xf numFmtId="0" fontId="0" fillId="0" borderId="1" xfId="0" applyFont="1" applyBorder="1" applyAlignment="1" applyProtection="1">
      <alignment horizontal="left" wrapText="1"/>
      <protection hidden="1"/>
    </xf>
    <xf numFmtId="0" fontId="0" fillId="0" borderId="27" xfId="0" applyBorder="1" applyAlignment="1">
      <alignment horizontal="center"/>
    </xf>
    <xf numFmtId="0" fontId="26" fillId="9" borderId="61" xfId="0" applyFont="1" applyFill="1" applyBorder="1" applyAlignment="1" applyProtection="1">
      <alignment horizontal="center" vertical="center"/>
    </xf>
    <xf numFmtId="0" fontId="0" fillId="0" borderId="62" xfId="0" applyBorder="1" applyAlignment="1"/>
    <xf numFmtId="0" fontId="25" fillId="2" borderId="58" xfId="0" applyFont="1" applyFill="1" applyBorder="1" applyAlignment="1" applyProtection="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23" xfId="0" applyBorder="1" applyAlignment="1">
      <alignment wrapText="1"/>
    </xf>
    <xf numFmtId="0" fontId="0" fillId="0" borderId="25" xfId="0" applyBorder="1" applyAlignment="1">
      <alignment wrapText="1"/>
    </xf>
    <xf numFmtId="0" fontId="32" fillId="6" borderId="26" xfId="0" applyFont="1" applyFill="1" applyBorder="1" applyAlignment="1">
      <alignment horizontal="left"/>
    </xf>
    <xf numFmtId="0" fontId="0" fillId="6" borderId="1" xfId="0" applyFill="1" applyBorder="1" applyAlignment="1">
      <alignment horizontal="left"/>
    </xf>
    <xf numFmtId="0" fontId="0" fillId="6" borderId="1" xfId="0" applyFill="1" applyBorder="1" applyAlignment="1"/>
    <xf numFmtId="0" fontId="0" fillId="6" borderId="26" xfId="0" applyFill="1" applyBorder="1" applyAlignment="1">
      <alignment horizontal="left"/>
    </xf>
    <xf numFmtId="0" fontId="18" fillId="2" borderId="24" xfId="0" applyFont="1" applyFill="1" applyBorder="1" applyAlignment="1">
      <alignment horizontal="left" vertical="top" wrapText="1"/>
    </xf>
    <xf numFmtId="0" fontId="18" fillId="2" borderId="22" xfId="0" applyFont="1" applyFill="1" applyBorder="1" applyAlignment="1">
      <alignment horizontal="left" vertical="top" wrapText="1"/>
    </xf>
    <xf numFmtId="0" fontId="18" fillId="2" borderId="22" xfId="0" applyFont="1" applyFill="1" applyBorder="1" applyAlignment="1"/>
    <xf numFmtId="0" fontId="18" fillId="2" borderId="25" xfId="0" applyFont="1" applyFill="1" applyBorder="1" applyAlignment="1"/>
    <xf numFmtId="0" fontId="18" fillId="6" borderId="26" xfId="0" applyFont="1" applyFill="1" applyBorder="1" applyAlignment="1">
      <alignment horizontal="left" vertical="top" wrapText="1"/>
    </xf>
    <xf numFmtId="0" fontId="0" fillId="6" borderId="1" xfId="0" applyFill="1" applyBorder="1" applyAlignment="1">
      <alignment wrapText="1"/>
    </xf>
    <xf numFmtId="0" fontId="0" fillId="0" borderId="55" xfId="0" applyBorder="1" applyAlignment="1">
      <alignment wrapText="1"/>
    </xf>
    <xf numFmtId="0" fontId="0" fillId="0" borderId="57" xfId="0" applyBorder="1" applyAlignment="1">
      <alignment wrapText="1"/>
    </xf>
    <xf numFmtId="0" fontId="0" fillId="0" borderId="56" xfId="0" applyBorder="1" applyAlignment="1">
      <alignment wrapText="1"/>
    </xf>
    <xf numFmtId="0" fontId="33" fillId="2" borderId="58" xfId="0" applyFont="1" applyFill="1" applyBorder="1" applyAlignment="1" applyProtection="1">
      <alignment horizontal="left" vertical="center" wrapText="1"/>
    </xf>
    <xf numFmtId="0" fontId="24" fillId="0" borderId="59" xfId="0" applyFont="1" applyBorder="1" applyAlignment="1">
      <alignment horizontal="left" vertical="center" wrapText="1"/>
    </xf>
    <xf numFmtId="0" fontId="24" fillId="0" borderId="60" xfId="0" applyFont="1" applyBorder="1" applyAlignment="1">
      <alignment horizontal="left" vertical="center" wrapText="1"/>
    </xf>
    <xf numFmtId="0" fontId="0" fillId="0" borderId="55" xfId="0" applyBorder="1" applyAlignment="1">
      <alignment vertical="center" wrapText="1"/>
    </xf>
    <xf numFmtId="0" fontId="0" fillId="0" borderId="56" xfId="0" applyBorder="1" applyAlignment="1">
      <alignment vertical="center" wrapText="1"/>
    </xf>
    <xf numFmtId="0" fontId="25" fillId="0" borderId="23" xfId="0" applyFont="1" applyFill="1" applyBorder="1" applyAlignment="1" applyProtection="1">
      <alignment horizontal="left" vertical="center" wrapText="1"/>
    </xf>
    <xf numFmtId="0" fontId="0" fillId="0" borderId="2" xfId="0" applyFill="1" applyBorder="1" applyAlignment="1">
      <alignment horizontal="left" vertical="center" wrapText="1"/>
    </xf>
    <xf numFmtId="0" fontId="25" fillId="0" borderId="1" xfId="0" applyFont="1" applyFill="1" applyBorder="1" applyAlignment="1" applyProtection="1">
      <alignment horizontal="left" vertical="center"/>
    </xf>
    <xf numFmtId="0" fontId="0" fillId="0" borderId="1" xfId="0" applyFill="1" applyBorder="1" applyAlignment="1">
      <alignment horizontal="left" vertical="center"/>
    </xf>
    <xf numFmtId="0" fontId="9" fillId="6" borderId="63" xfId="0" applyFont="1" applyFill="1" applyBorder="1" applyAlignment="1" applyProtection="1">
      <alignment horizontal="left" vertical="top" wrapText="1"/>
      <protection hidden="1"/>
    </xf>
    <xf numFmtId="0" fontId="27" fillId="6" borderId="64" xfId="0" applyFont="1" applyFill="1" applyBorder="1" applyAlignment="1" applyProtection="1">
      <alignment horizontal="left" vertical="top" wrapText="1"/>
      <protection hidden="1"/>
    </xf>
    <xf numFmtId="0" fontId="29" fillId="0" borderId="0" xfId="0" applyFont="1" applyFill="1" applyBorder="1" applyAlignment="1" applyProtection="1">
      <alignment horizontal="left" vertical="center" wrapText="1"/>
    </xf>
    <xf numFmtId="0" fontId="29" fillId="0" borderId="0" xfId="0" applyFont="1" applyFill="1" applyBorder="1" applyAlignment="1">
      <alignment horizontal="left" vertical="center" wrapText="1"/>
    </xf>
    <xf numFmtId="0" fontId="34" fillId="0" borderId="0" xfId="0" applyFont="1" applyBorder="1" applyAlignment="1" applyProtection="1">
      <alignment horizontal="center" vertical="top" wrapText="1"/>
      <protection hidden="1"/>
    </xf>
    <xf numFmtId="0" fontId="35" fillId="0" borderId="0" xfId="0" applyFont="1" applyBorder="1" applyAlignment="1">
      <alignment horizontal="center" vertical="top" wrapText="1"/>
    </xf>
    <xf numFmtId="0" fontId="9" fillId="6" borderId="63" xfId="0" applyFont="1" applyFill="1" applyBorder="1" applyAlignment="1" applyProtection="1">
      <alignment horizontal="left" vertical="center" wrapText="1"/>
      <protection hidden="1"/>
    </xf>
    <xf numFmtId="0" fontId="27" fillId="6" borderId="64" xfId="0" applyFont="1" applyFill="1" applyBorder="1" applyAlignment="1" applyProtection="1">
      <alignment horizontal="left" vertical="center" wrapText="1"/>
      <protection hidden="1"/>
    </xf>
    <xf numFmtId="0" fontId="23" fillId="0" borderId="23" xfId="0" applyFont="1" applyFill="1" applyBorder="1" applyAlignment="1" applyProtection="1">
      <alignment horizontal="center" vertical="top" wrapText="1"/>
      <protection hidden="1"/>
    </xf>
    <xf numFmtId="0" fontId="23" fillId="0" borderId="2" xfId="0" applyFont="1" applyFill="1" applyBorder="1" applyAlignment="1" applyProtection="1">
      <alignment horizontal="center" vertical="top" wrapText="1"/>
      <protection hidden="1"/>
    </xf>
    <xf numFmtId="0" fontId="27" fillId="6" borderId="63" xfId="0" applyFont="1" applyFill="1" applyBorder="1" applyAlignment="1" applyProtection="1">
      <alignment horizontal="left" vertical="center" wrapText="1"/>
      <protection hidden="1"/>
    </xf>
  </cellXfs>
  <cellStyles count="4">
    <cellStyle name="Hyperlink 2" xfId="1" xr:uid="{00000000-0005-0000-0000-000000000000}"/>
    <cellStyle name="Normal" xfId="0" builtinId="0"/>
    <cellStyle name="Normal 2" xfId="2" xr:uid="{00000000-0005-0000-0000-000002000000}"/>
    <cellStyle name="Percent 2" xfId="3" xr:uid="{00000000-0005-0000-0000-000003000000}"/>
  </cellStyles>
  <dxfs count="144">
    <dxf>
      <fill>
        <patternFill>
          <bgColor rgb="FFFF0000"/>
        </patternFill>
      </fill>
    </dxf>
    <dxf>
      <fill>
        <patternFill>
          <bgColor rgb="FFBFBFBF"/>
        </patternFill>
      </fill>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ont>
        <color theme="0"/>
      </font>
    </dxf>
    <dxf>
      <fill>
        <patternFill>
          <bgColor theme="0" tint="-0.24994659260841701"/>
        </patternFill>
      </fill>
    </dxf>
    <dxf>
      <fill>
        <patternFill>
          <bgColor theme="0" tint="-0.24994659260841701"/>
        </patternFill>
      </fill>
    </dxf>
    <dxf>
      <font>
        <color theme="0"/>
      </font>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ill>
        <patternFill>
          <bgColor theme="0" tint="-0.24994659260841701"/>
        </patternFill>
      </fill>
    </dxf>
    <dxf>
      <font>
        <color theme="0"/>
      </font>
    </dxf>
    <dxf>
      <font>
        <color theme="0"/>
      </font>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ont>
        <color theme="0"/>
      </font>
    </dxf>
    <dxf>
      <fill>
        <patternFill patternType="solid">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V183"/>
  <sheetViews>
    <sheetView tabSelected="1" topLeftCell="A3" zoomScaleNormal="100" zoomScaleSheetLayoutView="40" workbookViewId="0">
      <selection activeCell="B16" sqref="B16"/>
    </sheetView>
  </sheetViews>
  <sheetFormatPr defaultColWidth="10.5546875" defaultRowHeight="30" customHeight="1" x14ac:dyDescent="0.3"/>
  <cols>
    <col min="1" max="1" width="40.5546875" style="13" customWidth="1"/>
    <col min="2" max="2" width="78.21875" style="14" customWidth="1"/>
    <col min="3" max="3" width="10.5546875" style="3" hidden="1" customWidth="1"/>
    <col min="4" max="4" width="12.5546875" style="21" hidden="1" customWidth="1"/>
    <col min="5" max="5" width="60.5546875" style="21" hidden="1" customWidth="1"/>
    <col min="6" max="6" width="12.5546875" style="21" hidden="1" customWidth="1"/>
    <col min="7" max="7" width="60.5546875" style="21" hidden="1" customWidth="1"/>
    <col min="8" max="17" width="10.5546875" style="21" hidden="1" customWidth="1"/>
    <col min="18" max="73" width="10.5546875" style="3" hidden="1" customWidth="1"/>
    <col min="74" max="74" width="10.5546875" style="3" customWidth="1"/>
    <col min="75" max="16384" width="10.5546875" style="3"/>
  </cols>
  <sheetData>
    <row r="1" spans="1:15" ht="15" customHeight="1" thickBot="1" x14ac:dyDescent="0.35">
      <c r="A1" s="183"/>
      <c r="B1" s="184"/>
    </row>
    <row r="2" spans="1:15" ht="60" customHeight="1" thickTop="1" x14ac:dyDescent="0.3">
      <c r="A2" s="206" t="s">
        <v>60</v>
      </c>
      <c r="B2" s="207"/>
      <c r="D2" s="171" t="s">
        <v>61</v>
      </c>
      <c r="E2" s="172"/>
      <c r="F2" s="171" t="s">
        <v>62</v>
      </c>
      <c r="G2" s="172"/>
      <c r="H2" s="22"/>
      <c r="I2" s="22"/>
      <c r="J2" s="22"/>
      <c r="K2" s="22"/>
      <c r="L2" s="22"/>
      <c r="M2" s="22"/>
      <c r="N2" s="22"/>
      <c r="O2" s="23">
        <f>O73</f>
        <v>0</v>
      </c>
    </row>
    <row r="3" spans="1:15" ht="60" customHeight="1" x14ac:dyDescent="0.3">
      <c r="A3" s="215" t="s">
        <v>53</v>
      </c>
      <c r="B3" s="216"/>
      <c r="D3" s="24" t="s">
        <v>63</v>
      </c>
      <c r="E3" s="25" t="s">
        <v>64</v>
      </c>
      <c r="F3" s="24" t="s">
        <v>65</v>
      </c>
      <c r="G3" s="25" t="s">
        <v>66</v>
      </c>
      <c r="H3" s="26"/>
      <c r="I3" s="26"/>
      <c r="J3" s="26"/>
      <c r="K3" s="26"/>
      <c r="L3" s="26"/>
      <c r="M3" s="26"/>
      <c r="N3" s="26"/>
      <c r="O3" s="27"/>
    </row>
    <row r="4" spans="1:15" ht="30" customHeight="1" x14ac:dyDescent="0.3">
      <c r="A4" s="204" t="s">
        <v>99</v>
      </c>
      <c r="B4" s="205"/>
      <c r="C4" s="5"/>
      <c r="D4" s="173"/>
      <c r="E4" s="174"/>
      <c r="F4" s="179"/>
      <c r="G4" s="174"/>
      <c r="H4" s="28"/>
      <c r="I4" s="28"/>
      <c r="J4" s="28"/>
      <c r="K4" s="28"/>
      <c r="L4" s="28"/>
      <c r="M4" s="28"/>
      <c r="N4" s="28"/>
      <c r="O4" s="29"/>
    </row>
    <row r="5" spans="1:15" ht="15" customHeight="1" x14ac:dyDescent="0.3">
      <c r="A5" s="1" t="s">
        <v>54</v>
      </c>
      <c r="B5" s="11"/>
      <c r="D5" s="175"/>
      <c r="E5" s="176"/>
      <c r="F5" s="175"/>
      <c r="G5" s="176"/>
      <c r="O5" s="30"/>
    </row>
    <row r="6" spans="1:15" ht="15" customHeight="1" x14ac:dyDescent="0.3">
      <c r="A6" s="1" t="s">
        <v>55</v>
      </c>
      <c r="B6" s="136" t="s">
        <v>52</v>
      </c>
      <c r="D6" s="175"/>
      <c r="E6" s="176"/>
      <c r="F6" s="175"/>
      <c r="G6" s="176"/>
      <c r="O6" s="30"/>
    </row>
    <row r="7" spans="1:15" ht="15" customHeight="1" x14ac:dyDescent="0.3">
      <c r="A7" s="1" t="s">
        <v>56</v>
      </c>
      <c r="B7" s="11"/>
      <c r="D7" s="175"/>
      <c r="E7" s="176"/>
      <c r="F7" s="175"/>
      <c r="G7" s="176"/>
      <c r="O7" s="30"/>
    </row>
    <row r="8" spans="1:15" ht="15" customHeight="1" x14ac:dyDescent="0.3">
      <c r="A8" s="1" t="s">
        <v>0</v>
      </c>
      <c r="B8" s="11"/>
      <c r="D8" s="175"/>
      <c r="E8" s="176"/>
      <c r="F8" s="175"/>
      <c r="G8" s="176"/>
      <c r="O8" s="30"/>
    </row>
    <row r="9" spans="1:15" ht="120" customHeight="1" x14ac:dyDescent="0.3">
      <c r="A9" s="1" t="str">
        <f>IF(B8="other","Explain what type of institute.","")</f>
        <v/>
      </c>
      <c r="B9" s="11"/>
      <c r="D9" s="175"/>
      <c r="E9" s="176"/>
      <c r="F9" s="175"/>
      <c r="G9" s="176"/>
      <c r="H9" s="31"/>
      <c r="I9" s="31"/>
      <c r="J9" s="31"/>
      <c r="K9" s="31"/>
      <c r="L9" s="31"/>
      <c r="M9" s="31"/>
      <c r="N9" s="31"/>
      <c r="O9" s="30"/>
    </row>
    <row r="10" spans="1:15" ht="15" customHeight="1" thickBot="1" x14ac:dyDescent="0.35">
      <c r="A10" s="185"/>
      <c r="B10" s="186"/>
      <c r="D10" s="177"/>
      <c r="E10" s="178"/>
      <c r="F10" s="177"/>
      <c r="G10" s="178"/>
      <c r="O10" s="30"/>
    </row>
    <row r="11" spans="1:15" ht="30" customHeight="1" thickBot="1" x14ac:dyDescent="0.35">
      <c r="A11" s="204" t="s">
        <v>147</v>
      </c>
      <c r="B11" s="205"/>
      <c r="D11" s="145" t="s">
        <v>105</v>
      </c>
      <c r="E11" s="180"/>
      <c r="F11" s="147"/>
      <c r="G11" s="181"/>
      <c r="H11" s="32"/>
      <c r="I11" s="32"/>
      <c r="J11" s="32"/>
      <c r="K11" s="32"/>
      <c r="L11" s="32"/>
      <c r="M11" s="32"/>
      <c r="N11" s="32"/>
      <c r="O11" s="30"/>
    </row>
    <row r="12" spans="1:15" ht="81.75" customHeight="1" x14ac:dyDescent="0.3">
      <c r="A12" s="1" t="s">
        <v>1</v>
      </c>
      <c r="B12" s="137"/>
      <c r="C12" s="4"/>
      <c r="D12" s="33" t="str">
        <f>IF(OR(B12="population register (census)",AND(B12="telephone directory",B14="landlines and mobile phones")),"4 / 4",IF(AND(B12="telephone directory",B14=""),"NA",IF(B12&lt;&gt;"","0 / 4","NA")))</f>
        <v>NA</v>
      </c>
      <c r="E12" s="34" t="str">
        <f>IF(B12="population register (census)","Population register is virtually all-encompassing.",IF(AND(B12="telephone directory", B14="landlines and mobile phones"),"Telephone directory which includes both landlines and mobile phones is virtually all-encompassing.",IF(AND(B12="telephone directory",B14=""),"Questionnaire incomplete.",IF(B12&lt;&gt;"","The quality of the sampling frame is clearly inferiour compared to  virtually all-encompassing alternatives like the population register (census) or a telephone directory with both landlines and mobiles.","Questionnaire incomplete. Not possible to evaluate quality of the frame."))))</f>
        <v>Questionnaire incomplete. Not possible to evaluate quality of the frame.</v>
      </c>
      <c r="F12" s="33"/>
      <c r="G12" s="35"/>
      <c r="H12" s="36"/>
      <c r="I12" s="46"/>
      <c r="J12" s="36"/>
      <c r="K12" s="36"/>
      <c r="L12" s="36"/>
      <c r="M12" s="36"/>
      <c r="N12" s="36"/>
      <c r="O12" s="30"/>
    </row>
    <row r="13" spans="1:15" ht="120" customHeight="1" x14ac:dyDescent="0.3">
      <c r="A13" s="7" t="str">
        <f>IF(B12="other","Explain what type of frame is used.","")</f>
        <v/>
      </c>
      <c r="B13" s="11"/>
      <c r="D13" s="149"/>
      <c r="E13" s="174"/>
      <c r="F13" s="182"/>
      <c r="G13" s="174"/>
      <c r="O13" s="30"/>
    </row>
    <row r="14" spans="1:15" ht="30" customHeight="1" x14ac:dyDescent="0.3">
      <c r="A14" s="7" t="str">
        <f>IF(OR(B12="telephone directory", B12="random digit dialling"), "What kind of telephone numbers are contained in the frame?","")</f>
        <v/>
      </c>
      <c r="B14" s="11"/>
      <c r="D14" s="154"/>
      <c r="E14" s="155"/>
      <c r="F14" s="154"/>
      <c r="G14" s="155"/>
      <c r="O14" s="30"/>
    </row>
    <row r="15" spans="1:15" ht="30" customHeight="1" x14ac:dyDescent="0.3">
      <c r="A15" s="1" t="s">
        <v>48</v>
      </c>
      <c r="B15" s="137"/>
      <c r="D15" s="24" t="str">
        <f>IF(B15="individuals", "2 / 2",IF(B15&lt;&gt;"","0 / 2","NA"))</f>
        <v>NA</v>
      </c>
      <c r="E15" s="37" t="str">
        <f>IF(B15="Individuals", "It is appropriate that the frame population consists of individuals (rather than households).",IF(B15&lt;&gt;"","The frame population should consist of individuals.","Questionnaire incomplete. Not possible to assess if frame population is adequate."))</f>
        <v>Questionnaire incomplete. Not possible to assess if frame population is adequate.</v>
      </c>
      <c r="F15" s="33"/>
      <c r="G15" s="38"/>
      <c r="O15" s="30"/>
    </row>
    <row r="16" spans="1:15" ht="45" customHeight="1" x14ac:dyDescent="0.3">
      <c r="A16" s="1" t="str">
        <f>IF(B15="individuals","Are certain types of individuals explicitly excluded from the sampling frame?",IF(B15="households","Are certain types of households explicitly excluded from the sampling frame?","Are certain types of sampling frame units explicitly excluded from the sampling frame?"))</f>
        <v>Are certain types of sampling frame units explicitly excluded from the sampling frame?</v>
      </c>
      <c r="B16" s="16"/>
      <c r="D16" s="24" t="str">
        <f>IF(B16="yes","2 / 2",IF(B16="no","0 / 2","NA"))</f>
        <v>NA</v>
      </c>
      <c r="E16" s="37" t="str">
        <f>IF(B16="yes","A frame limitation is applied, stabilising the panel and/or precisely identifying the survey objectives.",IF(B16="no","A frame limitation would have contributed to stabilising the panel and/or precisely identifying the survey objectives.","Questionnaire incomplete. Not possible to assess whether frame limitation is applied."))</f>
        <v>Questionnaire incomplete. Not possible to assess whether frame limitation is applied.</v>
      </c>
      <c r="F16" s="24"/>
      <c r="G16" s="38"/>
      <c r="O16" s="30"/>
    </row>
    <row r="17" spans="1:15" ht="30" customHeight="1" x14ac:dyDescent="0.3">
      <c r="A17" s="1" t="str">
        <f>IF(AND(B15="individuals",B16="yes"),"Is the sampling frame limited to individuals above a certain age?","")</f>
        <v/>
      </c>
      <c r="B17" s="16"/>
      <c r="D17" s="170"/>
      <c r="E17" s="150"/>
      <c r="F17" s="170"/>
      <c r="G17" s="150"/>
      <c r="O17" s="30"/>
    </row>
    <row r="18" spans="1:15" ht="45" customHeight="1" x14ac:dyDescent="0.3">
      <c r="A18" s="1" t="str">
        <f>IF(AND(B15="individuals", B16="yes", B17="yes"),"The sampling frame population is limited to individuals older than ...… years (use cell on the right).","")</f>
        <v/>
      </c>
      <c r="B18" s="16"/>
      <c r="D18" s="165"/>
      <c r="E18" s="164"/>
      <c r="F18" s="165"/>
      <c r="G18" s="164"/>
      <c r="O18" s="30"/>
    </row>
    <row r="19" spans="1:15" ht="120" customHeight="1" x14ac:dyDescent="0.3">
      <c r="A19" s="1" t="str">
        <f>IF(AND(B16="yes",OR(B15="",B15="other")),"Based on what criteria are sampling frame units excluded from the sampling frame?", IF(AND(B16="yes",B15="individuals",B17="yes"),"if applicable: Based on what other criteria are individuals excluded from the sampling frame?",IF(AND(B16="yes",B15="individuals",OR(B17="no",B17="")),"Based on what criteria are individuals excluded from the sampling frame?",IF(AND(B16="yes",B15="households"),"Based on what criteria are households excluded from the sampling frame?",""))))</f>
        <v/>
      </c>
      <c r="B19" s="16"/>
      <c r="D19" s="165"/>
      <c r="E19" s="164"/>
      <c r="F19" s="165"/>
      <c r="G19" s="164"/>
      <c r="O19" s="30"/>
    </row>
    <row r="20" spans="1:15" ht="45" customHeight="1" x14ac:dyDescent="0.3">
      <c r="A20" s="1" t="str">
        <f>IF(B15="households","What is the size of the frame in terms of number of households (use cell on the right)?",IF(B15="individuals","What is the size of the frame in terms of number of individuals (use cell on the right)?","What is the size of the frame in terms of survey units (use cell on the right)?"))</f>
        <v>What is the size of the frame in terms of survey units (use cell on the right)?</v>
      </c>
      <c r="B20" s="138"/>
      <c r="D20" s="165"/>
      <c r="E20" s="164"/>
      <c r="F20" s="165"/>
      <c r="G20" s="164"/>
      <c r="O20" s="30"/>
    </row>
    <row r="21" spans="1:15" ht="45" customHeight="1" x14ac:dyDescent="0.3">
      <c r="A21" s="1" t="str">
        <f>IF(B15="households","The frame represents ...% of the total number of households in the country (use cell on the right)",IF(B15="individuals","The frame represents ...% of the total number of individuals in the country (use cell on the right)",IF(AND(B15="individuals",B17="yes",B18&lt;&gt;""),"The frame represents ...% of the total number of individuals above " &amp;B18&amp; " years of age (use cell on the right)","The frame represents ...% of the total number of survey units in the country (use cell on the right)")))</f>
        <v>The frame represents ...% of the total number of survey units in the country (use cell on the right)</v>
      </c>
      <c r="B21" s="138"/>
      <c r="D21" s="154"/>
      <c r="E21" s="155"/>
      <c r="F21" s="154"/>
      <c r="G21" s="155"/>
      <c r="O21" s="30"/>
    </row>
    <row r="22" spans="1:15" ht="30" customHeight="1" x14ac:dyDescent="0.3">
      <c r="A22" s="1" t="s">
        <v>7</v>
      </c>
      <c r="B22" s="138"/>
      <c r="C22" s="4"/>
      <c r="D22" s="24" t="str">
        <f>IF(AND(B22&lt;&gt;"",B22&lt;=6),"2 / 2",IF(AND(B22&lt;&gt;"",B22&lt;=12),"1 / 2",IF(AND(B22&lt;&gt;"",B22&gt;12),"0 / 2",IF(B22="","NA"))))</f>
        <v>NA</v>
      </c>
      <c r="E22" s="37" t="str">
        <f>IF(AND(B22&lt;&gt;"",B22&lt;=6),"Frame is updated very regularly.",IF(AND(B22&lt;&gt;"",B22&lt;=12),"Frame is updated fairly regularly.",IF(AND(B22&lt;&gt;"",B22&gt;12),"Frame is updated only very infrequently.",IF(B22="","Questionnaire incomplete. Not possible to assess the updating frequency of the frame."))))</f>
        <v>Questionnaire incomplete. Not possible to assess the updating frequency of the frame.</v>
      </c>
      <c r="F22" s="47"/>
      <c r="G22" s="38"/>
      <c r="O22" s="30"/>
    </row>
    <row r="23" spans="1:15" ht="30" customHeight="1" x14ac:dyDescent="0.3">
      <c r="A23" s="1" t="s">
        <v>49</v>
      </c>
      <c r="B23" s="137"/>
      <c r="D23" s="170"/>
      <c r="E23" s="150"/>
      <c r="F23" s="170"/>
      <c r="G23" s="150"/>
      <c r="O23" s="30"/>
    </row>
    <row r="24" spans="1:15" ht="30" customHeight="1" x14ac:dyDescent="0.3">
      <c r="A24" s="1" t="str">
        <f>IF(B23="individuals","Is the survey target population limited to individuals above a certain age?","")</f>
        <v/>
      </c>
      <c r="B24" s="16"/>
      <c r="D24" s="165"/>
      <c r="E24" s="164"/>
      <c r="F24" s="165"/>
      <c r="G24" s="164"/>
      <c r="O24" s="30"/>
    </row>
    <row r="25" spans="1:15" ht="45" customHeight="1" x14ac:dyDescent="0.3">
      <c r="A25" s="1" t="str">
        <f>IF(AND(B23="individuals", B24="yes"),"The survey target population is limited to individuals older than ...… years (use cell on the right).","")</f>
        <v/>
      </c>
      <c r="B25" s="16"/>
      <c r="D25" s="165"/>
      <c r="E25" s="164"/>
      <c r="F25" s="165"/>
      <c r="G25" s="164"/>
      <c r="O25" s="30"/>
    </row>
    <row r="26" spans="1:15" ht="30" customHeight="1" x14ac:dyDescent="0.3">
      <c r="A26" s="185" t="s">
        <v>9</v>
      </c>
      <c r="B26" s="193"/>
      <c r="C26" s="4"/>
      <c r="D26" s="165"/>
      <c r="E26" s="164"/>
      <c r="F26" s="165"/>
      <c r="G26" s="164"/>
      <c r="O26" s="30"/>
    </row>
    <row r="27" spans="1:15" ht="120" customHeight="1" x14ac:dyDescent="0.3">
      <c r="A27" s="194"/>
      <c r="B27" s="195"/>
      <c r="C27" s="4"/>
      <c r="D27" s="165"/>
      <c r="E27" s="164"/>
      <c r="F27" s="165"/>
      <c r="G27" s="164"/>
      <c r="O27" s="30"/>
    </row>
    <row r="28" spans="1:15" ht="15" customHeight="1" thickBot="1" x14ac:dyDescent="0.35">
      <c r="A28" s="187"/>
      <c r="B28" s="186"/>
      <c r="C28" s="4"/>
      <c r="D28" s="151"/>
      <c r="E28" s="152"/>
      <c r="F28" s="151"/>
      <c r="G28" s="152"/>
      <c r="O28" s="30"/>
    </row>
    <row r="29" spans="1:15" ht="30" customHeight="1" thickBot="1" x14ac:dyDescent="0.35">
      <c r="A29" s="204" t="s">
        <v>148</v>
      </c>
      <c r="B29" s="205"/>
      <c r="D29" s="145" t="s">
        <v>106</v>
      </c>
      <c r="E29" s="146"/>
      <c r="F29" s="147"/>
      <c r="G29" s="148"/>
      <c r="O29" s="30"/>
    </row>
    <row r="30" spans="1:15" ht="49.5" customHeight="1" x14ac:dyDescent="0.3">
      <c r="A30" s="10" t="s">
        <v>50</v>
      </c>
      <c r="B30" s="15"/>
      <c r="D30" s="24" t="str">
        <f>IF(B30="random sampling","6 / 6",IF(B30="quota sampling","4 / 6",IF(B30&lt;&gt;"","0 / 6","NA")))</f>
        <v>NA</v>
      </c>
      <c r="E30" s="38" t="str">
        <f>IF(B30="random sampling","Random sampling techniques are used to ensure survey representativeness.",IF(B30="quota sampling","Quota sampling is appropriate to enhance representativeness of survey results.",IF(B30&lt;&gt;"","The use of probabilistic sample-selection techniques is strongly recommended in preference to purposive or judgemental methods.","Questionnaire incomplete. Not possible to assess the sampling method.")))</f>
        <v>Questionnaire incomplete. Not possible to assess the sampling method.</v>
      </c>
      <c r="F30" s="33"/>
      <c r="G30" s="38"/>
      <c r="O30" s="30"/>
    </row>
    <row r="31" spans="1:15" ht="120" customHeight="1" x14ac:dyDescent="0.3">
      <c r="A31" s="10" t="str">
        <f>IF(B30="other","Describe the sampling method applied.","")</f>
        <v/>
      </c>
      <c r="B31" s="11"/>
      <c r="D31" s="149"/>
      <c r="E31" s="150"/>
      <c r="F31" s="153"/>
      <c r="G31" s="150"/>
      <c r="O31" s="30"/>
    </row>
    <row r="32" spans="1:15" ht="30" customHeight="1" thickBot="1" x14ac:dyDescent="0.35">
      <c r="A32" s="199"/>
      <c r="B32" s="200"/>
      <c r="D32" s="151"/>
      <c r="E32" s="152"/>
      <c r="F32" s="151"/>
      <c r="G32" s="152"/>
      <c r="O32" s="30"/>
    </row>
    <row r="33" spans="1:15" ht="30" customHeight="1" thickBot="1" x14ac:dyDescent="0.35">
      <c r="A33" s="197" t="s">
        <v>149</v>
      </c>
      <c r="B33" s="198"/>
      <c r="D33" s="145" t="s">
        <v>107</v>
      </c>
      <c r="E33" s="146"/>
      <c r="F33" s="147"/>
      <c r="G33" s="148"/>
      <c r="O33" s="30"/>
    </row>
    <row r="34" spans="1:15" ht="30" customHeight="1" x14ac:dyDescent="0.3">
      <c r="A34" s="199"/>
      <c r="B34" s="200"/>
      <c r="D34" s="156"/>
      <c r="E34" s="157"/>
      <c r="F34" s="156"/>
      <c r="G34" s="157"/>
      <c r="O34" s="30"/>
    </row>
    <row r="35" spans="1:15" ht="48" customHeight="1" x14ac:dyDescent="0.3">
      <c r="A35" s="8" t="str">
        <f>IF(B30="quota sampling", "","Will you apply stratification?")</f>
        <v>Will you apply stratification?</v>
      </c>
      <c r="B35" s="11"/>
      <c r="D35" s="24" t="str">
        <f>IF(AND(OR(B35="yes",B30="quota sampling"),OR(B37&lt;&gt;"",B38&lt;&gt;"",B39&lt;&gt;"",B40&lt;&gt;"",B41&lt;&gt;"",B42&lt;&gt;"",B43&lt;&gt;"",B44&lt;&gt;"",B45&lt;&gt;"",B46&lt;&gt;"")),IF(SUM(O37,O38,O39,O40,O41,O42,O43,O44,O45,O46)&gt;=3,"4 / 4",IF(OR(SUM(O37,O38,O39,O40,O41,O42,O43,O44,O45,O46)=1,SUM(O37,O38,O39,O40,O41,O42,O43,O44,O45,O46)=2),"2 / 4",IF(SUM(O37,O38,O39,O40,O41,O42,O43,O44,O45,O46)=0,"NA"))),IF(OR(B35="no",AND(B30="quota sampling",SUM(O37,O38,O39,O40,O41,O42,O43,O44,O45,O46)=0)),"0 / 4",IF(B35="","NA","NA")))</f>
        <v>NA</v>
      </c>
      <c r="E35" s="38" t="str">
        <f>IF(B30="quota sampling",IF(D35="0 / 4","No info on quota definition.",IF(D35="2 / 4","While stratification is applied, more criteria should be used to account for a heterogeneous population.",IF(D35="4 / 4","Stratification based on various criteria is applied."))),IF(AND(B35="yes",OR(B37&lt;&gt;"",B38&lt;&gt;"",B39&lt;&gt;"",B40&lt;&gt;"",B41&lt;&gt;"",B42&lt;&gt;"",B43&lt;&gt;"",B44&lt;&gt;"",B45&lt;&gt;"",B46&lt;&gt;"")),IF(SUM(O37,O38,O39,O40,O41,O42,O43,O44,O45,O46)&gt;=3,"Stratification based on various criteria is applied.",IF(OR(SUM(O37,O38,O39,O40,O41,O42,O43,O44,O45,O46)=1,SUM(O37,O38,O39,O40,O41,O42,O43,O44,O45,O46)=2),"While stratification is applied, more criteria should be used to account for a heterogeneous population.",IF(SUM(O37,O38,O39,O40,O41,O42,O43,O44,O45,O46)=0,"No info on strata definition"))),IF(B35="no","The use of stratification-based sampling methods is recommended to cope with heterogeneity in the population.",IF(B35="","No info if stratification is applied.","No info on strata definition."))))</f>
        <v>No info if stratification is applied.</v>
      </c>
      <c r="F35" s="24"/>
      <c r="G35" s="38"/>
      <c r="H35" s="39"/>
      <c r="I35" s="39"/>
      <c r="J35" s="39"/>
      <c r="K35" s="39"/>
      <c r="L35" s="39"/>
      <c r="M35" s="39"/>
      <c r="N35" s="39"/>
      <c r="O35" s="30"/>
    </row>
    <row r="36" spans="1:15" ht="30" customHeight="1" x14ac:dyDescent="0.3">
      <c r="A36" s="191" t="str">
        <f>IF(B30="quota sampling", "Select from the below options the criteria that are used to establish quotas:", IF(B35="yes","Select from the below options the criteria that are used for the stratification:",""))</f>
        <v/>
      </c>
      <c r="B36" s="192"/>
      <c r="D36" s="149"/>
      <c r="E36" s="158"/>
      <c r="F36" s="163" t="s">
        <v>145</v>
      </c>
      <c r="G36" s="164"/>
      <c r="O36" s="30"/>
    </row>
    <row r="37" spans="1:15" ht="30" customHeight="1" x14ac:dyDescent="0.3">
      <c r="A37" s="8" t="str">
        <f>IF(B30="quota sampling", "&gt;&gt; geography (e.g. to cover each electoral district)", IF(B35="yes","&gt;&gt; geography (e.g. to cover each electoral district)",""))</f>
        <v/>
      </c>
      <c r="B37" s="11"/>
      <c r="D37" s="159"/>
      <c r="E37" s="160"/>
      <c r="F37" s="165"/>
      <c r="G37" s="164"/>
      <c r="O37" s="30">
        <f>IF(B37="yes",1,0)</f>
        <v>0</v>
      </c>
    </row>
    <row r="38" spans="1:15" ht="30" customHeight="1" x14ac:dyDescent="0.3">
      <c r="A38" s="8" t="str">
        <f>IF(B30="quota sampling", "&gt;&gt; population size/density of the region/city (e.g. urban vs. rural)",IF(B35="yes","&gt;&gt; population size/density of the region/city (e.g. urban vs. rural)",""))</f>
        <v/>
      </c>
      <c r="B38" s="11"/>
      <c r="D38" s="159"/>
      <c r="E38" s="160"/>
      <c r="F38" s="165"/>
      <c r="G38" s="164"/>
      <c r="O38" s="30">
        <f t="shared" ref="O38:O45" si="0">IF(B38="yes",1,0)</f>
        <v>0</v>
      </c>
    </row>
    <row r="39" spans="1:15" ht="30" customHeight="1" x14ac:dyDescent="0.3">
      <c r="A39" s="8" t="str">
        <f>IF(B30="quota sampling", "&gt;&gt; wealth of the region/city (e.g. average tax income)", IF(B35="yes","&gt;&gt; wealth of the region/city (e.g. average tax income)",""))</f>
        <v/>
      </c>
      <c r="B39" s="11"/>
      <c r="D39" s="159"/>
      <c r="E39" s="160"/>
      <c r="F39" s="165"/>
      <c r="G39" s="164"/>
      <c r="H39" s="40"/>
      <c r="I39" s="40"/>
      <c r="J39" s="40"/>
      <c r="K39" s="40"/>
      <c r="L39" s="40"/>
      <c r="M39" s="40"/>
      <c r="N39" s="40"/>
      <c r="O39" s="30">
        <f t="shared" si="0"/>
        <v>0</v>
      </c>
    </row>
    <row r="40" spans="1:15" ht="30" customHeight="1" x14ac:dyDescent="0.3">
      <c r="A40" s="8" t="str">
        <f>IF(B30="quota sampling", "&gt;&gt; household size", IF(B35="yes","&gt;&gt; household size",""))</f>
        <v/>
      </c>
      <c r="B40" s="11"/>
      <c r="D40" s="159"/>
      <c r="E40" s="160"/>
      <c r="F40" s="165"/>
      <c r="G40" s="164"/>
      <c r="O40" s="30">
        <f t="shared" si="0"/>
        <v>0</v>
      </c>
    </row>
    <row r="41" spans="1:15" ht="30" customHeight="1" x14ac:dyDescent="0.3">
      <c r="A41" s="8" t="str">
        <f>IF(B30="quota sampling", "&gt;&gt; household's / respondent's income", IF(B35="yes","&gt;&gt; household's / respondent's income",""))</f>
        <v/>
      </c>
      <c r="B41" s="11"/>
      <c r="D41" s="159"/>
      <c r="E41" s="160"/>
      <c r="F41" s="165"/>
      <c r="G41" s="164"/>
      <c r="O41" s="30">
        <f t="shared" si="0"/>
        <v>0</v>
      </c>
    </row>
    <row r="42" spans="1:15" ht="30" customHeight="1" x14ac:dyDescent="0.3">
      <c r="A42" s="8" t="str">
        <f>IF(B30="quota sampling", "&gt;&gt; respondent's educational level", IF(B35="yes","&gt;&gt; respondent's educational level",""))</f>
        <v/>
      </c>
      <c r="B42" s="11"/>
      <c r="D42" s="159"/>
      <c r="E42" s="160"/>
      <c r="F42" s="165"/>
      <c r="G42" s="164"/>
      <c r="O42" s="30">
        <f t="shared" si="0"/>
        <v>0</v>
      </c>
    </row>
    <row r="43" spans="1:15" ht="30" customHeight="1" x14ac:dyDescent="0.3">
      <c r="A43" s="8" t="str">
        <f>IF(B30="quota sampling", "&gt;&gt; respondent's occupation", IF(B35="yes","&gt;&gt; respondent's occupation",""))</f>
        <v/>
      </c>
      <c r="B43" s="11"/>
      <c r="D43" s="159"/>
      <c r="E43" s="160"/>
      <c r="F43" s="165"/>
      <c r="G43" s="164"/>
      <c r="O43" s="30">
        <f t="shared" si="0"/>
        <v>0</v>
      </c>
    </row>
    <row r="44" spans="1:15" ht="30" customHeight="1" x14ac:dyDescent="0.3">
      <c r="A44" s="8" t="str">
        <f>IF(B30="quota sampling", "&gt;&gt; respondent's gender", IF(B35="yes","&gt;&gt; respondent's gender",""))</f>
        <v/>
      </c>
      <c r="B44" s="11"/>
      <c r="D44" s="159"/>
      <c r="E44" s="160"/>
      <c r="F44" s="165"/>
      <c r="G44" s="164"/>
      <c r="O44" s="30">
        <f t="shared" si="0"/>
        <v>0</v>
      </c>
    </row>
    <row r="45" spans="1:15" ht="30" customHeight="1" x14ac:dyDescent="0.3">
      <c r="A45" s="8" t="str">
        <f>IF(B30="quota sampling", "&gt;&gt; respondent's age", IF(B35="yes","&gt;&gt; respondent's age",""))</f>
        <v/>
      </c>
      <c r="B45" s="11"/>
      <c r="D45" s="159"/>
      <c r="E45" s="160"/>
      <c r="F45" s="165"/>
      <c r="G45" s="164"/>
      <c r="O45" s="30">
        <f t="shared" si="0"/>
        <v>0</v>
      </c>
    </row>
    <row r="46" spans="1:15" ht="120" customHeight="1" x14ac:dyDescent="0.3">
      <c r="A46" s="8" t="str">
        <f>IF(B30="quota sampling", "If applicable, fill in other criteria used for establishing quotas.", IF(B35="yes","If applicable, fill in other criteria used for stratification.",""))</f>
        <v/>
      </c>
      <c r="B46" s="11"/>
      <c r="D46" s="159"/>
      <c r="E46" s="160"/>
      <c r="F46" s="165"/>
      <c r="G46" s="164"/>
      <c r="O46" s="30">
        <f>IF(B46&lt;&gt;"",1,0)</f>
        <v>0</v>
      </c>
    </row>
    <row r="47" spans="1:15" ht="30" customHeight="1" x14ac:dyDescent="0.3">
      <c r="A47" s="8" t="str">
        <f>IF(OR(AND(B30="random sampling", B35="yes"),AND(B30="other", B35="yes")),"How many strata will the survey have in total?","")</f>
        <v/>
      </c>
      <c r="B47" s="11"/>
      <c r="D47" s="159"/>
      <c r="E47" s="160"/>
      <c r="F47" s="165"/>
      <c r="G47" s="164"/>
      <c r="O47" s="30"/>
    </row>
    <row r="48" spans="1:15" ht="30" customHeight="1" x14ac:dyDescent="0.3">
      <c r="A48" s="185" t="str">
        <f>IF(B30="quota sampling", "Do you have further comments about the definition of quotas in the survey (use cell below)?",IF(B35="yes", "Do you have further comments about the stratification procedure (use cell below)?",""))</f>
        <v/>
      </c>
      <c r="B48" s="193"/>
      <c r="D48" s="159"/>
      <c r="E48" s="160"/>
      <c r="F48" s="165"/>
      <c r="G48" s="164"/>
      <c r="O48" s="30"/>
    </row>
    <row r="49" spans="1:17" ht="120" customHeight="1" x14ac:dyDescent="0.3">
      <c r="A49" s="201"/>
      <c r="B49" s="195"/>
      <c r="D49" s="159"/>
      <c r="E49" s="160"/>
      <c r="F49" s="165"/>
      <c r="G49" s="164"/>
      <c r="O49" s="30"/>
    </row>
    <row r="50" spans="1:17" ht="30" customHeight="1" thickBot="1" x14ac:dyDescent="0.35">
      <c r="A50" s="201"/>
      <c r="B50" s="190"/>
      <c r="D50" s="161"/>
      <c r="E50" s="162"/>
      <c r="F50" s="166"/>
      <c r="G50" s="167"/>
      <c r="O50" s="30"/>
    </row>
    <row r="51" spans="1:17" ht="30" customHeight="1" thickTop="1" thickBot="1" x14ac:dyDescent="0.35">
      <c r="A51" s="202" t="s">
        <v>150</v>
      </c>
      <c r="B51" s="198"/>
      <c r="D51" s="168" t="s">
        <v>108</v>
      </c>
      <c r="E51" s="169"/>
      <c r="F51" s="147"/>
      <c r="G51" s="148"/>
      <c r="O51" s="30"/>
    </row>
    <row r="52" spans="1:17" ht="30" customHeight="1" thickTop="1" x14ac:dyDescent="0.3">
      <c r="A52" s="201"/>
      <c r="B52" s="190"/>
      <c r="D52" s="156"/>
      <c r="E52" s="157"/>
      <c r="F52" s="156"/>
      <c r="G52" s="157"/>
      <c r="H52" s="41"/>
      <c r="I52" s="41"/>
      <c r="J52" s="41"/>
      <c r="K52" s="41"/>
      <c r="L52" s="41"/>
      <c r="M52" s="41"/>
      <c r="N52" s="41"/>
      <c r="O52" s="42"/>
      <c r="P52" s="43"/>
      <c r="Q52" s="43"/>
    </row>
    <row r="53" spans="1:17" ht="30" customHeight="1" x14ac:dyDescent="0.3">
      <c r="A53" s="8" t="s">
        <v>51</v>
      </c>
      <c r="B53" s="137"/>
      <c r="D53" s="24" t="str">
        <f>IF(AND(B53="yes",OR(B55&lt;&gt;"",B57&lt;&gt;"",B59&lt;&gt;"",B61&lt;&gt;"",B63&lt;&gt;"",B65&lt;&gt;"",B67&lt;&gt;"",B69&lt;&gt;"",B71&lt;&gt;"",B73&lt;&gt;"")),IF(O75&gt;=1,CONCATENATE(O75, " / 4"),IF(O75=0,"NA")),IF(B53="no","0 / 4",IF(B53="","NA","NA")))</f>
        <v>NA</v>
      </c>
      <c r="E53" s="38" t="str">
        <f>IF(AND(B53="yes",OR(B55&lt;&gt;"",B57&lt;&gt;"",B59&lt;&gt;"",B61&lt;&gt;"",B63&lt;&gt;"",B65&lt;&gt;"",B67&lt;&gt;"",B69&lt;&gt;"",B71&lt;&gt;"",B73&lt;&gt;"")),IF(O75&lt;=2,"While a weighting scheme is applied, more criteria should be used to increase the precision of the estimates.",IF(O75=3,"While a weighting scheme is applied, ideally, some more criteria should be used to increase the precision of the estimates.",IF(O75=4,"A weighting scheme, based on a number of different criteria, is applied.",IF(O75=0,"Inconsistent questionnaire. Weighting is announced to be applied, but entries suggest that no weights exist.")))),IF(B53="no","The use of a weighting scheme is recommended to improve the precision of the estimates.",IF(B53="","Incomplete questionnaire. It is not stated whether weighting system will be applied or not.","Incomplete questionnaire. Weighting is announced to be applied, but no info on which/how many weights will be applied.")))</f>
        <v>Incomplete questionnaire. It is not stated whether weighting system will be applied or not.</v>
      </c>
      <c r="F53" s="24"/>
      <c r="G53" s="38"/>
      <c r="O53" s="30"/>
    </row>
    <row r="54" spans="1:17" ht="30" customHeight="1" x14ac:dyDescent="0.3">
      <c r="A54" s="191" t="str">
        <f>IF(B53="yes", "Select from the below options the criteria by which respondents' answers will be weighted.", "")</f>
        <v/>
      </c>
      <c r="B54" s="203"/>
      <c r="D54" s="149"/>
      <c r="E54" s="150"/>
      <c r="F54" s="149"/>
      <c r="G54" s="150"/>
      <c r="O54" s="30"/>
    </row>
    <row r="55" spans="1:17" ht="30" customHeight="1" x14ac:dyDescent="0.3">
      <c r="A55" s="8" t="str">
        <f>IF(B53="yes","&gt;&gt; geography (e.g. to cover each electoral district)","")</f>
        <v/>
      </c>
      <c r="B55" s="11"/>
      <c r="D55" s="154"/>
      <c r="E55" s="155"/>
      <c r="F55" s="154"/>
      <c r="G55" s="155"/>
      <c r="O55" s="30">
        <f>IF(B55="yes",1,0)</f>
        <v>0</v>
      </c>
    </row>
    <row r="56" spans="1:17" ht="46.5" customHeight="1" x14ac:dyDescent="0.3">
      <c r="A56" s="19" t="str">
        <f>IF(AND(A55&lt;&gt;"",B55="yes"),"The weight will be updated 
every ...… months.","")</f>
        <v/>
      </c>
      <c r="B56" s="11"/>
      <c r="D56" s="24" t="str">
        <f>IF(D53="NA","NA",IF(D53="0 / 4","0 / 2",IF(OR(D53="1 / 4", D53="2 / 4", D53="3 / 4", D53="4 / 4"),IF(O76=1,"NA",IF(MAX(O56,O58,O60,O62,O64,O66,O68,O70,O72)&lt;=6,"2 / 2",IF(MAX(O56,O58,O60,O62,O64,O66,O68,O70,O72)&lt;=12,"1 / 2","0 /2"))))))</f>
        <v>NA</v>
      </c>
      <c r="E56" s="38" t="str">
        <f>IF(D53="NA","Incomplete questionnaire. Not possible to allocate weights for regular updating of weights.",IF(D53="0 / 4","The set-up of the survey does not foresee a regular updating of weights.",IF(OR(D53="1 / 4", D53="2 / 4", D53="3 / 4", D53="4 / 4"),IF(O76=1,"Updating frequencies not indicated for all weights. Therefore not possible to allocate points for regular updating of weights.",IF(MAX(O56,O58,O60,O62,O64,O66,O68,O70,O72)&lt;=6,"The weights are updated at least once every half year.",IF(MAX(O56,O58,O60,O62,O64,O66,O68,O70,O72)&lt;=12,"The weights are updated fairly regularly.","The weights are updated only very infrequently (less than once a year)."))))))</f>
        <v>Incomplete questionnaire. Not possible to allocate weights for regular updating of weights.</v>
      </c>
      <c r="F56" s="24"/>
      <c r="G56" s="38"/>
      <c r="O56" s="30" t="str">
        <f>IF(AND(B55="yes",B56&lt;&gt;""),B56,"")</f>
        <v/>
      </c>
    </row>
    <row r="57" spans="1:17" ht="30" customHeight="1" x14ac:dyDescent="0.3">
      <c r="A57" s="8" t="str">
        <f>IF(B53="yes","&gt;&gt; population size/density of the region/city (e.g. urban vs. rural)","")</f>
        <v/>
      </c>
      <c r="B57" s="11"/>
      <c r="D57" s="219"/>
      <c r="E57" s="220"/>
      <c r="F57" s="219"/>
      <c r="G57" s="220"/>
      <c r="O57" s="30">
        <f>IF(B57="yes",1,0)</f>
        <v>0</v>
      </c>
    </row>
    <row r="58" spans="1:17" s="20" customFormat="1" ht="30" customHeight="1" x14ac:dyDescent="0.3">
      <c r="A58" s="19" t="str">
        <f>IF(AND(A57&lt;&gt;"",B57="yes"),"The weight will be updated 
every ...… months.","")</f>
        <v/>
      </c>
      <c r="B58" s="139"/>
      <c r="D58" s="221"/>
      <c r="E58" s="221"/>
      <c r="F58" s="221"/>
      <c r="G58" s="221"/>
      <c r="H58" s="21"/>
      <c r="I58" s="21"/>
      <c r="J58" s="21"/>
      <c r="K58" s="21"/>
      <c r="L58" s="21"/>
      <c r="M58" s="21"/>
      <c r="N58" s="21"/>
      <c r="O58" s="30" t="str">
        <f>IF(AND(B57="yes",B58&lt;&gt;""),B58,"")</f>
        <v/>
      </c>
      <c r="P58" s="21"/>
      <c r="Q58" s="21"/>
    </row>
    <row r="59" spans="1:17" ht="30" customHeight="1" x14ac:dyDescent="0.3">
      <c r="A59" s="8" t="str">
        <f>IF(B53="yes","&gt;&gt; wealth of the region/city (e.g. average tax income)","")</f>
        <v/>
      </c>
      <c r="B59" s="11"/>
      <c r="D59" s="221"/>
      <c r="E59" s="221"/>
      <c r="F59" s="221"/>
      <c r="G59" s="221"/>
      <c r="O59" s="30">
        <f>IF(B59="yes",1,0)</f>
        <v>0</v>
      </c>
    </row>
    <row r="60" spans="1:17" s="20" customFormat="1" ht="30" customHeight="1" x14ac:dyDescent="0.3">
      <c r="A60" s="19" t="str">
        <f>IF(AND(A59&lt;&gt;"",B59="yes"),"The weight will be updated 
every ...… months.","")</f>
        <v/>
      </c>
      <c r="B60" s="139"/>
      <c r="D60" s="221"/>
      <c r="E60" s="221"/>
      <c r="F60" s="221"/>
      <c r="G60" s="221"/>
      <c r="H60" s="21"/>
      <c r="I60" s="21"/>
      <c r="J60" s="21"/>
      <c r="K60" s="21"/>
      <c r="L60" s="21"/>
      <c r="M60" s="21"/>
      <c r="N60" s="21"/>
      <c r="O60" s="30" t="str">
        <f>IF(AND(B59="yes",B60&lt;&gt;""),B60,"")</f>
        <v/>
      </c>
      <c r="P60" s="21"/>
      <c r="Q60" s="21"/>
    </row>
    <row r="61" spans="1:17" ht="30" customHeight="1" x14ac:dyDescent="0.3">
      <c r="A61" s="8" t="str">
        <f>IF(B47="quota sampling", "&gt;&gt; household size", IF(B53="yes","&gt;&gt; household size",""))</f>
        <v/>
      </c>
      <c r="B61" s="11"/>
      <c r="D61" s="221"/>
      <c r="E61" s="221"/>
      <c r="F61" s="221"/>
      <c r="G61" s="221"/>
      <c r="O61" s="30">
        <f>IF(B61="yes",1,0)</f>
        <v>0</v>
      </c>
    </row>
    <row r="62" spans="1:17" s="20" customFormat="1" ht="30" customHeight="1" x14ac:dyDescent="0.3">
      <c r="A62" s="19" t="str">
        <f>IF(AND(A61&lt;&gt;"",B61="yes"),"The weight will be updated 
every ...… months.","")</f>
        <v/>
      </c>
      <c r="B62" s="139"/>
      <c r="D62" s="221"/>
      <c r="E62" s="221"/>
      <c r="F62" s="221"/>
      <c r="G62" s="221"/>
      <c r="H62" s="21"/>
      <c r="I62" s="21"/>
      <c r="J62" s="21"/>
      <c r="K62" s="21"/>
      <c r="L62" s="21"/>
      <c r="M62" s="21"/>
      <c r="N62" s="21"/>
      <c r="O62" s="30" t="str">
        <f>IF(AND(B61="yes",B62&lt;&gt;""),B62,"")</f>
        <v/>
      </c>
      <c r="P62" s="21"/>
      <c r="Q62" s="21"/>
    </row>
    <row r="63" spans="1:17" ht="30" customHeight="1" x14ac:dyDescent="0.3">
      <c r="A63" s="8" t="str">
        <f>IF(B53="yes","&gt;&gt; household's / respondent's income","")</f>
        <v/>
      </c>
      <c r="B63" s="11"/>
      <c r="D63" s="221"/>
      <c r="E63" s="221"/>
      <c r="F63" s="221"/>
      <c r="G63" s="221"/>
      <c r="O63" s="30">
        <f>IF(B63="yes",1,0)</f>
        <v>0</v>
      </c>
    </row>
    <row r="64" spans="1:17" s="20" customFormat="1" ht="30" customHeight="1" x14ac:dyDescent="0.3">
      <c r="A64" s="19" t="str">
        <f>IF(AND(A63&lt;&gt;"",B63="yes"),"The weight will be updated 
every ...… months.","")</f>
        <v/>
      </c>
      <c r="B64" s="139"/>
      <c r="D64" s="221"/>
      <c r="E64" s="221"/>
      <c r="F64" s="221"/>
      <c r="G64" s="221"/>
      <c r="H64" s="40"/>
      <c r="I64" s="40"/>
      <c r="J64" s="40"/>
      <c r="K64" s="40"/>
      <c r="L64" s="40"/>
      <c r="M64" s="40"/>
      <c r="N64" s="40"/>
      <c r="O64" s="30" t="str">
        <f>IF(AND(B63="yes",B64&lt;&gt;""),B64,"")</f>
        <v/>
      </c>
      <c r="P64" s="21"/>
      <c r="Q64" s="21"/>
    </row>
    <row r="65" spans="1:256" ht="30" customHeight="1" x14ac:dyDescent="0.3">
      <c r="A65" s="8" t="str">
        <f>IF(B53="yes","&gt;&gt; respondent's educational level","")</f>
        <v/>
      </c>
      <c r="B65" s="11"/>
      <c r="D65" s="221"/>
      <c r="E65" s="221"/>
      <c r="F65" s="221"/>
      <c r="G65" s="221"/>
      <c r="O65" s="30">
        <f>IF(B65="yes",1,0)</f>
        <v>0</v>
      </c>
    </row>
    <row r="66" spans="1:256" s="20" customFormat="1" ht="30" customHeight="1" x14ac:dyDescent="0.3">
      <c r="A66" s="19" t="str">
        <f>IF(AND(A65&lt;&gt;"",B65="yes"),"The weight will be updated 
every ...… months.","")</f>
        <v/>
      </c>
      <c r="B66" s="139"/>
      <c r="D66" s="221"/>
      <c r="E66" s="221"/>
      <c r="F66" s="221"/>
      <c r="G66" s="221"/>
      <c r="H66" s="21"/>
      <c r="I66" s="21"/>
      <c r="J66" s="21"/>
      <c r="K66" s="21"/>
      <c r="L66" s="21"/>
      <c r="M66" s="21"/>
      <c r="N66" s="21"/>
      <c r="O66" s="30" t="str">
        <f>IF(AND(B65="yes",B66&lt;&gt;""),B66,"")</f>
        <v/>
      </c>
      <c r="P66" s="21"/>
      <c r="Q66" s="21"/>
    </row>
    <row r="67" spans="1:256" ht="30" customHeight="1" x14ac:dyDescent="0.3">
      <c r="A67" s="8" t="str">
        <f>IF(B53="yes","&gt;&gt; respondent's occupation","")</f>
        <v/>
      </c>
      <c r="B67" s="11"/>
      <c r="D67" s="221"/>
      <c r="E67" s="221"/>
      <c r="F67" s="221"/>
      <c r="G67" s="221"/>
      <c r="O67" s="30">
        <f>IF(B67="yes",1,0)</f>
        <v>0</v>
      </c>
    </row>
    <row r="68" spans="1:256" s="20" customFormat="1" ht="30" customHeight="1" x14ac:dyDescent="0.3">
      <c r="A68" s="19" t="str">
        <f>IF(AND(A67&lt;&gt;"",B67="yes"),"The weight will be updated 
every ...… months.","")</f>
        <v/>
      </c>
      <c r="B68" s="139"/>
      <c r="D68" s="221"/>
      <c r="E68" s="221"/>
      <c r="F68" s="221"/>
      <c r="G68" s="221"/>
      <c r="H68" s="21"/>
      <c r="I68" s="21"/>
      <c r="J68" s="21"/>
      <c r="K68" s="21"/>
      <c r="L68" s="21"/>
      <c r="M68" s="21"/>
      <c r="N68" s="21"/>
      <c r="O68" s="30" t="str">
        <f>IF(AND(B67="yes",B68&lt;&gt;""),B68,"")</f>
        <v/>
      </c>
      <c r="P68" s="21"/>
      <c r="Q68" s="21"/>
    </row>
    <row r="69" spans="1:256" ht="30" customHeight="1" x14ac:dyDescent="0.3">
      <c r="A69" s="8" t="str">
        <f>IF(B53="yes","&gt;&gt; respondent's gender","")</f>
        <v/>
      </c>
      <c r="B69" s="11"/>
      <c r="D69" s="221"/>
      <c r="E69" s="221"/>
      <c r="F69" s="221"/>
      <c r="G69" s="221"/>
      <c r="O69" s="30">
        <f>IF(B69="yes",1,0)</f>
        <v>0</v>
      </c>
    </row>
    <row r="70" spans="1:256" s="20" customFormat="1" ht="30" customHeight="1" x14ac:dyDescent="0.3">
      <c r="A70" s="19" t="str">
        <f>IF(AND(A69&lt;&gt;"",B69="yes"),"The weight will be updated 
every ...… months.","")</f>
        <v/>
      </c>
      <c r="B70" s="139"/>
      <c r="D70" s="221"/>
      <c r="E70" s="221"/>
      <c r="F70" s="221"/>
      <c r="G70" s="221"/>
      <c r="H70" s="21"/>
      <c r="I70" s="21"/>
      <c r="J70" s="21"/>
      <c r="K70" s="21"/>
      <c r="L70" s="21"/>
      <c r="M70" s="21"/>
      <c r="N70" s="21"/>
      <c r="O70" s="30" t="str">
        <f>IF(AND(B69="yes",B70&lt;&gt;""),B70,"")</f>
        <v/>
      </c>
      <c r="P70" s="21"/>
      <c r="Q70" s="21"/>
    </row>
    <row r="71" spans="1:256" ht="30" customHeight="1" x14ac:dyDescent="0.3">
      <c r="A71" s="8" t="str">
        <f>IF(B53="yes","&gt;&gt; respondent's age","")</f>
        <v/>
      </c>
      <c r="B71" s="11"/>
      <c r="D71" s="221"/>
      <c r="E71" s="221"/>
      <c r="F71" s="221"/>
      <c r="G71" s="221"/>
      <c r="O71" s="30">
        <f>IF(B71="yes",1,0)</f>
        <v>0</v>
      </c>
    </row>
    <row r="72" spans="1:256" s="20" customFormat="1" ht="30" customHeight="1" x14ac:dyDescent="0.3">
      <c r="A72" s="19" t="str">
        <f>IF(AND(A71&lt;&gt;"",B71="yes"),"The weight will be updated 
every ...… months.","")</f>
        <v/>
      </c>
      <c r="B72" s="139"/>
      <c r="C72" s="135" t="str">
        <f>IF(AND(C71&lt;&gt;"",D71="yes"),"The weight will be updated every … months (use cell on the right side).","")</f>
        <v/>
      </c>
      <c r="D72" s="221"/>
      <c r="E72" s="221"/>
      <c r="F72" s="221"/>
      <c r="G72" s="221"/>
      <c r="H72" s="21"/>
      <c r="I72" s="21"/>
      <c r="J72" s="21"/>
      <c r="K72" s="21"/>
      <c r="L72" s="21"/>
      <c r="M72" s="21"/>
      <c r="N72" s="21"/>
      <c r="O72" s="30" t="str">
        <f>IF(AND(B71="yes",B72&lt;&gt;""),B72,"")</f>
        <v/>
      </c>
      <c r="P72" s="21"/>
      <c r="Q72" s="21"/>
      <c r="R72" s="19" t="str">
        <f t="shared" ref="R72:BN72" si="1">IF(AND(R71&lt;&gt;"",S71="yes"),"The weight will be updated every … months (use cell on the right side).","")</f>
        <v/>
      </c>
      <c r="S72" s="19" t="str">
        <f t="shared" si="1"/>
        <v/>
      </c>
      <c r="T72" s="19" t="str">
        <f t="shared" si="1"/>
        <v/>
      </c>
      <c r="U72" s="19" t="str">
        <f t="shared" si="1"/>
        <v/>
      </c>
      <c r="V72" s="19" t="str">
        <f t="shared" si="1"/>
        <v/>
      </c>
      <c r="W72" s="19" t="str">
        <f t="shared" si="1"/>
        <v/>
      </c>
      <c r="X72" s="19" t="str">
        <f t="shared" si="1"/>
        <v/>
      </c>
      <c r="Y72" s="19" t="str">
        <f t="shared" si="1"/>
        <v/>
      </c>
      <c r="Z72" s="19" t="str">
        <f t="shared" si="1"/>
        <v/>
      </c>
      <c r="AA72" s="19" t="str">
        <f t="shared" si="1"/>
        <v/>
      </c>
      <c r="AB72" s="19" t="str">
        <f t="shared" si="1"/>
        <v/>
      </c>
      <c r="AC72" s="19" t="str">
        <f t="shared" si="1"/>
        <v/>
      </c>
      <c r="AD72" s="19" t="str">
        <f t="shared" si="1"/>
        <v/>
      </c>
      <c r="AE72" s="19" t="str">
        <f t="shared" si="1"/>
        <v/>
      </c>
      <c r="AF72" s="19" t="str">
        <f t="shared" si="1"/>
        <v/>
      </c>
      <c r="AG72" s="19" t="str">
        <f t="shared" si="1"/>
        <v/>
      </c>
      <c r="AH72" s="19" t="str">
        <f t="shared" si="1"/>
        <v/>
      </c>
      <c r="AI72" s="19" t="str">
        <f t="shared" si="1"/>
        <v/>
      </c>
      <c r="AJ72" s="19" t="str">
        <f t="shared" si="1"/>
        <v/>
      </c>
      <c r="AK72" s="19" t="str">
        <f t="shared" si="1"/>
        <v/>
      </c>
      <c r="AL72" s="19" t="str">
        <f t="shared" si="1"/>
        <v/>
      </c>
      <c r="AM72" s="19" t="str">
        <f t="shared" si="1"/>
        <v/>
      </c>
      <c r="AN72" s="19" t="str">
        <f t="shared" si="1"/>
        <v/>
      </c>
      <c r="AO72" s="19" t="str">
        <f t="shared" si="1"/>
        <v/>
      </c>
      <c r="AP72" s="19" t="str">
        <f t="shared" si="1"/>
        <v/>
      </c>
      <c r="AQ72" s="19" t="str">
        <f t="shared" si="1"/>
        <v/>
      </c>
      <c r="AR72" s="19" t="str">
        <f t="shared" si="1"/>
        <v/>
      </c>
      <c r="AS72" s="19" t="str">
        <f t="shared" si="1"/>
        <v/>
      </c>
      <c r="AT72" s="19" t="str">
        <f t="shared" si="1"/>
        <v/>
      </c>
      <c r="AU72" s="19" t="str">
        <f t="shared" si="1"/>
        <v/>
      </c>
      <c r="AV72" s="19" t="str">
        <f t="shared" si="1"/>
        <v/>
      </c>
      <c r="AW72" s="19" t="str">
        <f t="shared" si="1"/>
        <v/>
      </c>
      <c r="AX72" s="19" t="str">
        <f t="shared" si="1"/>
        <v/>
      </c>
      <c r="AY72" s="19" t="str">
        <f t="shared" si="1"/>
        <v/>
      </c>
      <c r="AZ72" s="19" t="str">
        <f t="shared" si="1"/>
        <v/>
      </c>
      <c r="BA72" s="19" t="str">
        <f t="shared" si="1"/>
        <v/>
      </c>
      <c r="BB72" s="19" t="str">
        <f t="shared" si="1"/>
        <v/>
      </c>
      <c r="BC72" s="19" t="str">
        <f t="shared" si="1"/>
        <v/>
      </c>
      <c r="BD72" s="19" t="str">
        <f t="shared" si="1"/>
        <v/>
      </c>
      <c r="BE72" s="19" t="str">
        <f t="shared" si="1"/>
        <v/>
      </c>
      <c r="BF72" s="19" t="str">
        <f t="shared" si="1"/>
        <v/>
      </c>
      <c r="BG72" s="19" t="str">
        <f t="shared" si="1"/>
        <v/>
      </c>
      <c r="BH72" s="19" t="str">
        <f t="shared" si="1"/>
        <v/>
      </c>
      <c r="BI72" s="19" t="str">
        <f t="shared" si="1"/>
        <v/>
      </c>
      <c r="BJ72" s="19" t="str">
        <f t="shared" si="1"/>
        <v/>
      </c>
      <c r="BK72" s="19" t="str">
        <f t="shared" si="1"/>
        <v/>
      </c>
      <c r="BL72" s="19" t="str">
        <f t="shared" si="1"/>
        <v/>
      </c>
      <c r="BM72" s="19" t="str">
        <f t="shared" si="1"/>
        <v/>
      </c>
      <c r="BN72" s="19" t="str">
        <f t="shared" si="1"/>
        <v/>
      </c>
      <c r="BO72" s="19" t="str">
        <f t="shared" ref="BO72:DZ72" si="2">IF(AND(BO71&lt;&gt;"",BP71="yes"),"The weight will be updated every … months (use cell on the right side).","")</f>
        <v/>
      </c>
      <c r="BP72" s="19" t="str">
        <f t="shared" si="2"/>
        <v/>
      </c>
      <c r="BQ72" s="19" t="str">
        <f t="shared" si="2"/>
        <v/>
      </c>
      <c r="BR72" s="19" t="str">
        <f t="shared" si="2"/>
        <v/>
      </c>
      <c r="BS72" s="19" t="str">
        <f t="shared" si="2"/>
        <v/>
      </c>
      <c r="BT72" s="19" t="str">
        <f t="shared" si="2"/>
        <v/>
      </c>
      <c r="BU72" s="19" t="str">
        <f t="shared" si="2"/>
        <v/>
      </c>
      <c r="BV72" s="19" t="str">
        <f t="shared" si="2"/>
        <v/>
      </c>
      <c r="BW72" s="19" t="str">
        <f t="shared" si="2"/>
        <v/>
      </c>
      <c r="BX72" s="19" t="str">
        <f t="shared" si="2"/>
        <v/>
      </c>
      <c r="BY72" s="19" t="str">
        <f t="shared" si="2"/>
        <v/>
      </c>
      <c r="BZ72" s="19" t="str">
        <f t="shared" si="2"/>
        <v/>
      </c>
      <c r="CA72" s="19" t="str">
        <f t="shared" si="2"/>
        <v/>
      </c>
      <c r="CB72" s="19" t="str">
        <f t="shared" si="2"/>
        <v/>
      </c>
      <c r="CC72" s="19" t="str">
        <f t="shared" si="2"/>
        <v/>
      </c>
      <c r="CD72" s="19" t="str">
        <f t="shared" si="2"/>
        <v/>
      </c>
      <c r="CE72" s="19" t="str">
        <f t="shared" si="2"/>
        <v/>
      </c>
      <c r="CF72" s="19" t="str">
        <f t="shared" si="2"/>
        <v/>
      </c>
      <c r="CG72" s="19" t="str">
        <f t="shared" si="2"/>
        <v/>
      </c>
      <c r="CH72" s="19" t="str">
        <f t="shared" si="2"/>
        <v/>
      </c>
      <c r="CI72" s="19" t="str">
        <f t="shared" si="2"/>
        <v/>
      </c>
      <c r="CJ72" s="19" t="str">
        <f t="shared" si="2"/>
        <v/>
      </c>
      <c r="CK72" s="19" t="str">
        <f t="shared" si="2"/>
        <v/>
      </c>
      <c r="CL72" s="19" t="str">
        <f t="shared" si="2"/>
        <v/>
      </c>
      <c r="CM72" s="19" t="str">
        <f t="shared" si="2"/>
        <v/>
      </c>
      <c r="CN72" s="19" t="str">
        <f t="shared" si="2"/>
        <v/>
      </c>
      <c r="CO72" s="19" t="str">
        <f t="shared" si="2"/>
        <v/>
      </c>
      <c r="CP72" s="19" t="str">
        <f t="shared" si="2"/>
        <v/>
      </c>
      <c r="CQ72" s="19" t="str">
        <f t="shared" si="2"/>
        <v/>
      </c>
      <c r="CR72" s="19" t="str">
        <f t="shared" si="2"/>
        <v/>
      </c>
      <c r="CS72" s="19" t="str">
        <f t="shared" si="2"/>
        <v/>
      </c>
      <c r="CT72" s="19" t="str">
        <f t="shared" si="2"/>
        <v/>
      </c>
      <c r="CU72" s="19" t="str">
        <f t="shared" si="2"/>
        <v/>
      </c>
      <c r="CV72" s="19" t="str">
        <f t="shared" si="2"/>
        <v/>
      </c>
      <c r="CW72" s="19" t="str">
        <f t="shared" si="2"/>
        <v/>
      </c>
      <c r="CX72" s="19" t="str">
        <f t="shared" si="2"/>
        <v/>
      </c>
      <c r="CY72" s="19" t="str">
        <f t="shared" si="2"/>
        <v/>
      </c>
      <c r="CZ72" s="19" t="str">
        <f t="shared" si="2"/>
        <v/>
      </c>
      <c r="DA72" s="19" t="str">
        <f t="shared" si="2"/>
        <v/>
      </c>
      <c r="DB72" s="19" t="str">
        <f t="shared" si="2"/>
        <v/>
      </c>
      <c r="DC72" s="19" t="str">
        <f t="shared" si="2"/>
        <v/>
      </c>
      <c r="DD72" s="19" t="str">
        <f t="shared" si="2"/>
        <v/>
      </c>
      <c r="DE72" s="19" t="str">
        <f t="shared" si="2"/>
        <v/>
      </c>
      <c r="DF72" s="19" t="str">
        <f t="shared" si="2"/>
        <v/>
      </c>
      <c r="DG72" s="19" t="str">
        <f t="shared" si="2"/>
        <v/>
      </c>
      <c r="DH72" s="19" t="str">
        <f t="shared" si="2"/>
        <v/>
      </c>
      <c r="DI72" s="19" t="str">
        <f t="shared" si="2"/>
        <v/>
      </c>
      <c r="DJ72" s="19" t="str">
        <f t="shared" si="2"/>
        <v/>
      </c>
      <c r="DK72" s="19" t="str">
        <f t="shared" si="2"/>
        <v/>
      </c>
      <c r="DL72" s="19" t="str">
        <f t="shared" si="2"/>
        <v/>
      </c>
      <c r="DM72" s="19" t="str">
        <f t="shared" si="2"/>
        <v/>
      </c>
      <c r="DN72" s="19" t="str">
        <f t="shared" si="2"/>
        <v/>
      </c>
      <c r="DO72" s="19" t="str">
        <f t="shared" si="2"/>
        <v/>
      </c>
      <c r="DP72" s="19" t="str">
        <f t="shared" si="2"/>
        <v/>
      </c>
      <c r="DQ72" s="19" t="str">
        <f t="shared" si="2"/>
        <v/>
      </c>
      <c r="DR72" s="19" t="str">
        <f t="shared" si="2"/>
        <v/>
      </c>
      <c r="DS72" s="19" t="str">
        <f t="shared" si="2"/>
        <v/>
      </c>
      <c r="DT72" s="19" t="str">
        <f t="shared" si="2"/>
        <v/>
      </c>
      <c r="DU72" s="19" t="str">
        <f t="shared" si="2"/>
        <v/>
      </c>
      <c r="DV72" s="19" t="str">
        <f t="shared" si="2"/>
        <v/>
      </c>
      <c r="DW72" s="19" t="str">
        <f t="shared" si="2"/>
        <v/>
      </c>
      <c r="DX72" s="19" t="str">
        <f t="shared" si="2"/>
        <v/>
      </c>
      <c r="DY72" s="19" t="str">
        <f t="shared" si="2"/>
        <v/>
      </c>
      <c r="DZ72" s="19" t="str">
        <f t="shared" si="2"/>
        <v/>
      </c>
      <c r="EA72" s="19" t="str">
        <f t="shared" ref="EA72:GL72" si="3">IF(AND(EA71&lt;&gt;"",EB71="yes"),"The weight will be updated every … months (use cell on the right side).","")</f>
        <v/>
      </c>
      <c r="EB72" s="19" t="str">
        <f t="shared" si="3"/>
        <v/>
      </c>
      <c r="EC72" s="19" t="str">
        <f t="shared" si="3"/>
        <v/>
      </c>
      <c r="ED72" s="19" t="str">
        <f t="shared" si="3"/>
        <v/>
      </c>
      <c r="EE72" s="19" t="str">
        <f t="shared" si="3"/>
        <v/>
      </c>
      <c r="EF72" s="19" t="str">
        <f t="shared" si="3"/>
        <v/>
      </c>
      <c r="EG72" s="19" t="str">
        <f t="shared" si="3"/>
        <v/>
      </c>
      <c r="EH72" s="19" t="str">
        <f t="shared" si="3"/>
        <v/>
      </c>
      <c r="EI72" s="19" t="str">
        <f t="shared" si="3"/>
        <v/>
      </c>
      <c r="EJ72" s="19" t="str">
        <f t="shared" si="3"/>
        <v/>
      </c>
      <c r="EK72" s="19" t="str">
        <f t="shared" si="3"/>
        <v/>
      </c>
      <c r="EL72" s="19" t="str">
        <f t="shared" si="3"/>
        <v/>
      </c>
      <c r="EM72" s="19" t="str">
        <f t="shared" si="3"/>
        <v/>
      </c>
      <c r="EN72" s="19" t="str">
        <f t="shared" si="3"/>
        <v/>
      </c>
      <c r="EO72" s="19" t="str">
        <f t="shared" si="3"/>
        <v/>
      </c>
      <c r="EP72" s="19" t="str">
        <f t="shared" si="3"/>
        <v/>
      </c>
      <c r="EQ72" s="19" t="str">
        <f t="shared" si="3"/>
        <v/>
      </c>
      <c r="ER72" s="19" t="str">
        <f t="shared" si="3"/>
        <v/>
      </c>
      <c r="ES72" s="19" t="str">
        <f t="shared" si="3"/>
        <v/>
      </c>
      <c r="ET72" s="19" t="str">
        <f t="shared" si="3"/>
        <v/>
      </c>
      <c r="EU72" s="19" t="str">
        <f t="shared" si="3"/>
        <v/>
      </c>
      <c r="EV72" s="19" t="str">
        <f t="shared" si="3"/>
        <v/>
      </c>
      <c r="EW72" s="19" t="str">
        <f t="shared" si="3"/>
        <v/>
      </c>
      <c r="EX72" s="19" t="str">
        <f t="shared" si="3"/>
        <v/>
      </c>
      <c r="EY72" s="19" t="str">
        <f t="shared" si="3"/>
        <v/>
      </c>
      <c r="EZ72" s="19" t="str">
        <f t="shared" si="3"/>
        <v/>
      </c>
      <c r="FA72" s="19" t="str">
        <f t="shared" si="3"/>
        <v/>
      </c>
      <c r="FB72" s="19" t="str">
        <f t="shared" si="3"/>
        <v/>
      </c>
      <c r="FC72" s="19" t="str">
        <f t="shared" si="3"/>
        <v/>
      </c>
      <c r="FD72" s="19" t="str">
        <f t="shared" si="3"/>
        <v/>
      </c>
      <c r="FE72" s="19" t="str">
        <f t="shared" si="3"/>
        <v/>
      </c>
      <c r="FF72" s="19" t="str">
        <f t="shared" si="3"/>
        <v/>
      </c>
      <c r="FG72" s="19" t="str">
        <f t="shared" si="3"/>
        <v/>
      </c>
      <c r="FH72" s="19" t="str">
        <f t="shared" si="3"/>
        <v/>
      </c>
      <c r="FI72" s="19" t="str">
        <f t="shared" si="3"/>
        <v/>
      </c>
      <c r="FJ72" s="19" t="str">
        <f t="shared" si="3"/>
        <v/>
      </c>
      <c r="FK72" s="19" t="str">
        <f t="shared" si="3"/>
        <v/>
      </c>
      <c r="FL72" s="19" t="str">
        <f t="shared" si="3"/>
        <v/>
      </c>
      <c r="FM72" s="19" t="str">
        <f t="shared" si="3"/>
        <v/>
      </c>
      <c r="FN72" s="19" t="str">
        <f t="shared" si="3"/>
        <v/>
      </c>
      <c r="FO72" s="19" t="str">
        <f t="shared" si="3"/>
        <v/>
      </c>
      <c r="FP72" s="19" t="str">
        <f t="shared" si="3"/>
        <v/>
      </c>
      <c r="FQ72" s="19" t="str">
        <f t="shared" si="3"/>
        <v/>
      </c>
      <c r="FR72" s="19" t="str">
        <f t="shared" si="3"/>
        <v/>
      </c>
      <c r="FS72" s="19" t="str">
        <f t="shared" si="3"/>
        <v/>
      </c>
      <c r="FT72" s="19" t="str">
        <f t="shared" si="3"/>
        <v/>
      </c>
      <c r="FU72" s="19" t="str">
        <f t="shared" si="3"/>
        <v/>
      </c>
      <c r="FV72" s="19" t="str">
        <f t="shared" si="3"/>
        <v/>
      </c>
      <c r="FW72" s="19" t="str">
        <f t="shared" si="3"/>
        <v/>
      </c>
      <c r="FX72" s="19" t="str">
        <f t="shared" si="3"/>
        <v/>
      </c>
      <c r="FY72" s="19" t="str">
        <f t="shared" si="3"/>
        <v/>
      </c>
      <c r="FZ72" s="19" t="str">
        <f t="shared" si="3"/>
        <v/>
      </c>
      <c r="GA72" s="19" t="str">
        <f t="shared" si="3"/>
        <v/>
      </c>
      <c r="GB72" s="19" t="str">
        <f t="shared" si="3"/>
        <v/>
      </c>
      <c r="GC72" s="19" t="str">
        <f t="shared" si="3"/>
        <v/>
      </c>
      <c r="GD72" s="19" t="str">
        <f t="shared" si="3"/>
        <v/>
      </c>
      <c r="GE72" s="19" t="str">
        <f t="shared" si="3"/>
        <v/>
      </c>
      <c r="GF72" s="19" t="str">
        <f t="shared" si="3"/>
        <v/>
      </c>
      <c r="GG72" s="19" t="str">
        <f t="shared" si="3"/>
        <v/>
      </c>
      <c r="GH72" s="19" t="str">
        <f t="shared" si="3"/>
        <v/>
      </c>
      <c r="GI72" s="19" t="str">
        <f t="shared" si="3"/>
        <v/>
      </c>
      <c r="GJ72" s="19" t="str">
        <f t="shared" si="3"/>
        <v/>
      </c>
      <c r="GK72" s="19" t="str">
        <f t="shared" si="3"/>
        <v/>
      </c>
      <c r="GL72" s="19" t="str">
        <f t="shared" si="3"/>
        <v/>
      </c>
      <c r="GM72" s="19" t="str">
        <f t="shared" ref="GM72:IU72" si="4">IF(AND(GM71&lt;&gt;"",GN71="yes"),"The weight will be updated every … months (use cell on the right side).","")</f>
        <v/>
      </c>
      <c r="GN72" s="19" t="str">
        <f t="shared" si="4"/>
        <v/>
      </c>
      <c r="GO72" s="19" t="str">
        <f t="shared" si="4"/>
        <v/>
      </c>
      <c r="GP72" s="19" t="str">
        <f t="shared" si="4"/>
        <v/>
      </c>
      <c r="GQ72" s="19" t="str">
        <f t="shared" si="4"/>
        <v/>
      </c>
      <c r="GR72" s="19" t="str">
        <f t="shared" si="4"/>
        <v/>
      </c>
      <c r="GS72" s="19" t="str">
        <f t="shared" si="4"/>
        <v/>
      </c>
      <c r="GT72" s="19" t="str">
        <f t="shared" si="4"/>
        <v/>
      </c>
      <c r="GU72" s="19" t="str">
        <f t="shared" si="4"/>
        <v/>
      </c>
      <c r="GV72" s="19" t="str">
        <f t="shared" si="4"/>
        <v/>
      </c>
      <c r="GW72" s="19" t="str">
        <f t="shared" si="4"/>
        <v/>
      </c>
      <c r="GX72" s="19" t="str">
        <f t="shared" si="4"/>
        <v/>
      </c>
      <c r="GY72" s="19" t="str">
        <f t="shared" si="4"/>
        <v/>
      </c>
      <c r="GZ72" s="19" t="str">
        <f t="shared" si="4"/>
        <v/>
      </c>
      <c r="HA72" s="19" t="str">
        <f t="shared" si="4"/>
        <v/>
      </c>
      <c r="HB72" s="19" t="str">
        <f t="shared" si="4"/>
        <v/>
      </c>
      <c r="HC72" s="19" t="str">
        <f t="shared" si="4"/>
        <v/>
      </c>
      <c r="HD72" s="19" t="str">
        <f t="shared" si="4"/>
        <v/>
      </c>
      <c r="HE72" s="19" t="str">
        <f t="shared" si="4"/>
        <v/>
      </c>
      <c r="HF72" s="19" t="str">
        <f t="shared" si="4"/>
        <v/>
      </c>
      <c r="HG72" s="19" t="str">
        <f t="shared" si="4"/>
        <v/>
      </c>
      <c r="HH72" s="19" t="str">
        <f t="shared" si="4"/>
        <v/>
      </c>
      <c r="HI72" s="19" t="str">
        <f t="shared" si="4"/>
        <v/>
      </c>
      <c r="HJ72" s="19" t="str">
        <f t="shared" si="4"/>
        <v/>
      </c>
      <c r="HK72" s="19" t="str">
        <f t="shared" si="4"/>
        <v/>
      </c>
      <c r="HL72" s="19" t="str">
        <f t="shared" si="4"/>
        <v/>
      </c>
      <c r="HM72" s="19" t="str">
        <f t="shared" si="4"/>
        <v/>
      </c>
      <c r="HN72" s="19" t="str">
        <f t="shared" si="4"/>
        <v/>
      </c>
      <c r="HO72" s="19" t="str">
        <f t="shared" si="4"/>
        <v/>
      </c>
      <c r="HP72" s="19" t="str">
        <f t="shared" si="4"/>
        <v/>
      </c>
      <c r="HQ72" s="19" t="str">
        <f t="shared" si="4"/>
        <v/>
      </c>
      <c r="HR72" s="19" t="str">
        <f t="shared" si="4"/>
        <v/>
      </c>
      <c r="HS72" s="19" t="str">
        <f t="shared" si="4"/>
        <v/>
      </c>
      <c r="HT72" s="19" t="str">
        <f t="shared" si="4"/>
        <v/>
      </c>
      <c r="HU72" s="19" t="str">
        <f t="shared" si="4"/>
        <v/>
      </c>
      <c r="HV72" s="19" t="str">
        <f t="shared" si="4"/>
        <v/>
      </c>
      <c r="HW72" s="19" t="str">
        <f t="shared" si="4"/>
        <v/>
      </c>
      <c r="HX72" s="19" t="str">
        <f t="shared" si="4"/>
        <v/>
      </c>
      <c r="HY72" s="19" t="str">
        <f t="shared" si="4"/>
        <v/>
      </c>
      <c r="HZ72" s="19" t="str">
        <f t="shared" si="4"/>
        <v/>
      </c>
      <c r="IA72" s="19" t="str">
        <f t="shared" si="4"/>
        <v/>
      </c>
      <c r="IB72" s="19" t="str">
        <f t="shared" si="4"/>
        <v/>
      </c>
      <c r="IC72" s="19" t="str">
        <f t="shared" si="4"/>
        <v/>
      </c>
      <c r="ID72" s="19" t="str">
        <f t="shared" si="4"/>
        <v/>
      </c>
      <c r="IE72" s="19" t="str">
        <f t="shared" si="4"/>
        <v/>
      </c>
      <c r="IF72" s="19" t="str">
        <f t="shared" si="4"/>
        <v/>
      </c>
      <c r="IG72" s="19" t="str">
        <f t="shared" si="4"/>
        <v/>
      </c>
      <c r="IH72" s="19" t="str">
        <f t="shared" si="4"/>
        <v/>
      </c>
      <c r="II72" s="19" t="str">
        <f t="shared" si="4"/>
        <v/>
      </c>
      <c r="IJ72" s="19" t="str">
        <f t="shared" si="4"/>
        <v/>
      </c>
      <c r="IK72" s="19" t="str">
        <f t="shared" si="4"/>
        <v/>
      </c>
      <c r="IL72" s="19" t="str">
        <f t="shared" si="4"/>
        <v/>
      </c>
      <c r="IM72" s="19" t="str">
        <f t="shared" si="4"/>
        <v/>
      </c>
      <c r="IN72" s="19" t="str">
        <f t="shared" si="4"/>
        <v/>
      </c>
      <c r="IO72" s="19" t="str">
        <f t="shared" si="4"/>
        <v/>
      </c>
      <c r="IP72" s="19" t="str">
        <f t="shared" si="4"/>
        <v/>
      </c>
      <c r="IQ72" s="19" t="str">
        <f t="shared" si="4"/>
        <v/>
      </c>
      <c r="IR72" s="19" t="str">
        <f t="shared" si="4"/>
        <v/>
      </c>
      <c r="IS72" s="19" t="str">
        <f t="shared" si="4"/>
        <v/>
      </c>
      <c r="IT72" s="19" t="str">
        <f t="shared" si="4"/>
        <v/>
      </c>
      <c r="IU72" s="19" t="str">
        <f t="shared" si="4"/>
        <v/>
      </c>
      <c r="IV72" s="19" t="e">
        <f>IF(AND(IV71&lt;&gt;"",#REF!="yes"),"The weight will be updated every … months (use cell on the right side).","")</f>
        <v>#REF!</v>
      </c>
    </row>
    <row r="73" spans="1:256" ht="120" customHeight="1" x14ac:dyDescent="0.3">
      <c r="A73" s="8" t="str">
        <f>IF(B53="yes","If applicable, fill in other criteria used for weighting.","")</f>
        <v/>
      </c>
      <c r="B73" s="11"/>
      <c r="D73" s="221"/>
      <c r="E73" s="221"/>
      <c r="F73" s="221"/>
      <c r="G73" s="221"/>
      <c r="O73" s="30">
        <f>IF(B73&lt;&gt;"",1,0)</f>
        <v>0</v>
      </c>
    </row>
    <row r="74" spans="1:256" ht="30" customHeight="1" x14ac:dyDescent="0.3">
      <c r="A74" s="185" t="str">
        <f>IF(B53="yes","Do you have further comments about the weighting procedure (use cell below)?","")</f>
        <v/>
      </c>
      <c r="B74" s="193"/>
      <c r="D74" s="221"/>
      <c r="E74" s="221"/>
      <c r="F74" s="221"/>
      <c r="G74" s="221"/>
      <c r="O74" s="44">
        <f>SUM(O55,O57,O59,O61,O63,O65,O67,O69,O71,O73)</f>
        <v>0</v>
      </c>
    </row>
    <row r="75" spans="1:256" ht="120" customHeight="1" x14ac:dyDescent="0.3">
      <c r="A75" s="201"/>
      <c r="B75" s="195"/>
      <c r="D75" s="221"/>
      <c r="E75" s="221"/>
      <c r="F75" s="221"/>
      <c r="G75" s="221"/>
      <c r="O75" s="44">
        <f>IF(O74&lt;=4,O74,4)</f>
        <v>0</v>
      </c>
    </row>
    <row r="76" spans="1:256" ht="30" customHeight="1" thickBot="1" x14ac:dyDescent="0.35">
      <c r="A76" s="196"/>
      <c r="B76" s="186"/>
      <c r="D76" s="221"/>
      <c r="E76" s="221"/>
      <c r="F76" s="221"/>
      <c r="G76" s="221"/>
      <c r="O76" s="44">
        <f>IF(OR(AND(B55="yes",B56=""),AND(B57="yes",B58=""), AND(B59="yes",B60=""), AND(B61="yes",B62=""),AND(B63="yes",B64=""), AND(B65="yes",B66=""), AND(B67="yes",B68=""), AND(B69="yes",B70=""), AND(B71="yes",B72="")),1,0)</f>
        <v>0</v>
      </c>
    </row>
    <row r="77" spans="1:256" ht="30" customHeight="1" thickTop="1" thickBot="1" x14ac:dyDescent="0.35">
      <c r="A77" s="202" t="s">
        <v>151</v>
      </c>
      <c r="B77" s="198"/>
      <c r="D77" s="96" t="s">
        <v>109</v>
      </c>
      <c r="E77" s="97"/>
      <c r="F77" s="98"/>
      <c r="G77" s="99"/>
      <c r="O77" s="44"/>
    </row>
    <row r="78" spans="1:256" ht="30" customHeight="1" thickTop="1" x14ac:dyDescent="0.3">
      <c r="A78" s="196"/>
      <c r="B78" s="186"/>
      <c r="D78" s="222"/>
      <c r="E78" s="223"/>
      <c r="F78" s="225"/>
      <c r="G78" s="223"/>
      <c r="O78" s="30"/>
    </row>
    <row r="79" spans="1:256" ht="30" customHeight="1" x14ac:dyDescent="0.3">
      <c r="A79" s="8" t="s">
        <v>6</v>
      </c>
      <c r="B79" s="137"/>
      <c r="D79" s="221"/>
      <c r="E79" s="221"/>
      <c r="F79" s="221"/>
      <c r="G79" s="221"/>
      <c r="O79" s="30"/>
    </row>
    <row r="80" spans="1:256" ht="30" customHeight="1" x14ac:dyDescent="0.3">
      <c r="A80" s="8" t="str">
        <f>IF(B79="yes", "Do you intend to regularly replace all or part of the panel members?","")</f>
        <v/>
      </c>
      <c r="B80" s="11"/>
      <c r="D80" s="221"/>
      <c r="E80" s="221"/>
      <c r="F80" s="221"/>
      <c r="G80" s="221"/>
      <c r="O80" s="30"/>
    </row>
    <row r="81" spans="1:17" ht="30" customHeight="1" x14ac:dyDescent="0.3">
      <c r="A81" s="8" t="str">
        <f>IF(AND(B79="yes", B80="yes"), "What part of the panel will you regularly replace?","")</f>
        <v/>
      </c>
      <c r="B81" s="11"/>
      <c r="D81" s="221"/>
      <c r="E81" s="221"/>
      <c r="F81" s="221"/>
      <c r="G81" s="221"/>
      <c r="O81" s="30"/>
    </row>
    <row r="82" spans="1:17" ht="45" customHeight="1" x14ac:dyDescent="0.3">
      <c r="A82" s="8" t="str">
        <f>IF(AND(B79="yes",B80="yes", OR(B81="ii) a certain %age of the panel",B81="iv) combination of ii) and iii)")),"What %age of panel members do you intend to regularly replace (indicate %age in cell on the right)?","")</f>
        <v/>
      </c>
      <c r="B82" s="11"/>
      <c r="D82" s="221"/>
      <c r="E82" s="221"/>
      <c r="F82" s="221"/>
      <c r="G82" s="221"/>
      <c r="H82" s="40"/>
      <c r="I82" s="40"/>
      <c r="J82" s="40"/>
      <c r="K82" s="40"/>
      <c r="L82" s="40"/>
      <c r="M82" s="40"/>
      <c r="N82" s="40"/>
      <c r="O82" s="30"/>
    </row>
    <row r="83" spans="1:17" ht="45" customHeight="1" x14ac:dyDescent="0.3">
      <c r="A83" s="8" t="str">
        <f>IF(AND(B79="yes",B80="yes"),"How often will the regular replacement take place (indicate the amount of months in the cell on the right)?","")</f>
        <v/>
      </c>
      <c r="B83" s="11"/>
      <c r="D83" s="221"/>
      <c r="E83" s="221"/>
      <c r="F83" s="221"/>
      <c r="G83" s="221"/>
      <c r="O83" s="30">
        <f>IF(OR(B83="quest. by email",B83="quest. by internet",B83="quest. by post &amp; email"),1,0)</f>
        <v>0</v>
      </c>
    </row>
    <row r="84" spans="1:17" ht="45" customHeight="1" x14ac:dyDescent="0.3">
      <c r="A84" s="8" t="str">
        <f>IF(AND(B79="no", B30&lt;&gt;"quota sampling"),"How many households/individuals will you attempt to contact for every wave of the survey (=sample size)?",IF(AND(B79="yes", B30&lt;&gt;"quota sampling"),"How many households/individuals will you attempt to contact to become part of the panel?",""))</f>
        <v/>
      </c>
      <c r="B84" s="11"/>
      <c r="D84" s="221"/>
      <c r="E84" s="221"/>
      <c r="F84" s="221"/>
      <c r="G84" s="221"/>
      <c r="O84" s="30">
        <f>IF(OR(B83="mixed mode",B83="telephone interview",B83="computer-assisted telephone interview (CATI)",B83="personal interview (Face to Face)",B83="computer-assisted personal interview (CAPI)"),1,0)</f>
        <v>0</v>
      </c>
    </row>
    <row r="85" spans="1:17" ht="45" customHeight="1" x14ac:dyDescent="0.3">
      <c r="A85" s="8" t="str">
        <f>IF(AND(B79="yes", B30&lt;&gt;"quota sampling"), "How many households/individuals do you think will agree to become part of the panel?","")</f>
        <v/>
      </c>
      <c r="B85" s="11"/>
      <c r="D85" s="224"/>
      <c r="E85" s="224"/>
      <c r="F85" s="224"/>
      <c r="G85" s="224"/>
      <c r="O85" s="141">
        <f>IF(OR(ISNUMBER(SEARCH("malta",B5))=TRUE,ISNUMBER(SEARCH("montenegro",B5))=TRUE,ISNUMBER(SEARCH("luxembourg",B5))=TRUE,ISNUMBER(SEARCH("cyprus",B5))=TRUE),1,0)</f>
        <v>0</v>
      </c>
      <c r="P85" s="142" t="str">
        <f>IF(O85=1,1000,"")</f>
        <v/>
      </c>
      <c r="Q85" s="143"/>
    </row>
    <row r="86" spans="1:17" ht="47.25" customHeight="1" x14ac:dyDescent="0.3">
      <c r="A86" s="8" t="str">
        <f>IF(AND(B79&lt;&gt;"", B30&lt;&gt;"quota sampling"),"How many households/individuals do you think will on average complete the survey?","")</f>
        <v/>
      </c>
      <c r="B86" s="11"/>
      <c r="D86" s="24" t="str">
        <f>IF(O90&lt;&gt;"NA",CONCATENATE(ROUND(O90,1), " / 12"),"NA")</f>
        <v>NA</v>
      </c>
      <c r="E86" s="48" t="e">
        <f>IF(D86&lt;&gt;"",IF(_xlfn.NUMBERVALUE(LEFT(D86,2))&lt;5,"The effective sample size is rather small compared to the overall population, limiting the accuracy of the survey estimates.",IF(_xlfn.NUMBERVALUE(LEFT(D86,2))&lt;8,"The effective sample size is fairly large compared to the overall population, ensuring a decent degree of accuracy of the survey estimates.","The effective sample size is very large compared to the overall population, ensuring a high degree of accuracy of the survey estimates.")))</f>
        <v>#VALUE!</v>
      </c>
      <c r="F86" s="24"/>
      <c r="G86" s="132"/>
      <c r="O86" s="141">
        <f>IF(OR(ISNUMBER(SEARCH("estonia",B5))=TRUE,ISNUMBER(SEARCH("latvia",B5))=TRUE,ISNUMBER(SEARCH("republic of north macedonia",B5))=TRUE,ISNUMBER(SEARCH("slovenia",B5))=TRUE,ISNUMBER(SEARCH("lithuania",B5))=TRUE,ISNUMBER(SEARCH("albania",B5))=TRUE,ISNUMBER(SEARCH("croatia",B5))=TRUE,ISNUMBER(SEARCH("ireland",B5))=TRUE),1,0)</f>
        <v>0</v>
      </c>
      <c r="P86" s="142" t="str">
        <f>IF(O86=1,1200,"")</f>
        <v/>
      </c>
      <c r="Q86" s="143"/>
    </row>
    <row r="87" spans="1:17" ht="60" customHeight="1" x14ac:dyDescent="0.3">
      <c r="A87" s="2" t="str">
        <f>IF(AND(B79="no", B30&lt;&gt;"quota sampling", B84&lt;&gt;"",B86&lt;&gt;""),"Based on your entries, you assume to achieve an average response rate of:",IF(AND(B79="yes", B30&lt;&gt;"quota sampling", B84&lt;&gt;"",B85&lt;&gt;""),"Based on your entries, you assume your panel will have the following conversion rate (members of the panel, divided by firms asked to join the panel):",""))</f>
        <v/>
      </c>
      <c r="B87" s="140" t="str">
        <f>IF(AND(B79="no", B30&lt;&gt;"quota sampling",B84&lt;&gt;"",B86&lt;&gt;""),B86/B84,IF(AND(B79="yes", B30&lt;&gt;"quota sampling",B84&lt;&gt;"",B85&lt;&gt;""),B85/B84,""))</f>
        <v/>
      </c>
      <c r="C87" s="6" t="e">
        <f>ROUND(B87,3)*100</f>
        <v>#VALUE!</v>
      </c>
      <c r="D87" s="24" t="str">
        <f>IF(O92&lt;&gt;"NA",CONCATENATE(ROUND(O92,1), " / 4"),"NA")</f>
        <v>NA</v>
      </c>
      <c r="E87" s="48" t="e">
        <f>IF(D87&lt;&gt;"",IF(_xlfn.NUMBERVALUE(LEFT(D87,2))&lt;3,"The predicted response rate is rather low, potentially deteriorating the representativeness of the survey estimates. ",IF(_xlfn.NUMBERVALUE(LEFT(D87,2))&lt;4,"The predicted response rate is fairly high, ensuring a decent degree of representativeness of the survey estimates.","The predicted response rate is very high, ensuring a high degree of representativeness of the survey estimates.")))</f>
        <v>#VALUE!</v>
      </c>
      <c r="F87" s="24"/>
      <c r="G87" s="132"/>
      <c r="O87" s="141">
        <f>IF(OR(ISNUMBER(SEARCH("slovakia",B5))=TRUE,ISNUMBER(SEARCH("finland",B5))=TRUE,ISNUMBER(SEARCH("denmark",B5))=TRUE,ISNUMBER(SEARCH("bulgaria",B5))=TRUE,ISNUMBER(SEARCH("serbia",B5))=TRUE,ISNUMBER(SEARCH("austria",B5))=TRUE,ISNUMBER(SEARCH("hungary",B5))=TRUE),1,0)</f>
        <v>0</v>
      </c>
      <c r="P87" s="142" t="str">
        <f>IF(O87=1,1500,"")</f>
        <v/>
      </c>
      <c r="Q87" s="143"/>
    </row>
    <row r="88" spans="1:17" ht="44.25" customHeight="1" x14ac:dyDescent="0.3">
      <c r="A88" s="2" t="str">
        <f>IF(AND(B79="yes", B30&lt;&gt;"quota sampling", B85&lt;&gt;"",B86&lt;&gt;""), "Based on your entries, you assume the average response rate of your panel to be:","")</f>
        <v/>
      </c>
      <c r="B88" s="140" t="str">
        <f>IF(AND(B79="yes", B30&lt;&gt;"quota sampling",B85&lt;&gt;"",B86&lt;&gt;""),B86/B85,"")</f>
        <v/>
      </c>
      <c r="C88" s="6" t="e">
        <f>ROUND(B88,3)*100</f>
        <v>#VALUE!</v>
      </c>
      <c r="D88" s="226"/>
      <c r="E88" s="220"/>
      <c r="F88" s="153"/>
      <c r="G88" s="150"/>
      <c r="O88" s="141">
        <f>IF(OR(ISNUMBER(SEARCH("portugal",B5))=TRUE,ISNUMBER(SEARCH("sweden",B5))=TRUE,ISNUMBER(SEARCH("czech republic",B5))=TRUE,ISNUMBER(SEARCH("greece",B5))=TRUE,ISNUMBER(SEARCH("belgium",B5))=TRUE,ISNUMBER(SEARCH("netherlands",B5))=TRUE,ISNUMBER(SEARCH("romania",B5))=TRUE),1,0)</f>
        <v>0</v>
      </c>
      <c r="P88" s="142" t="str">
        <f>IF(O88=1,1850,"")</f>
        <v/>
      </c>
      <c r="Q88" s="143"/>
    </row>
    <row r="89" spans="1:17" ht="30" customHeight="1" x14ac:dyDescent="0.3">
      <c r="A89" s="185" t="str">
        <f>IF(B79="yes", "Do you have further comments about the characteristics of the panel (use cell below)?","")</f>
        <v/>
      </c>
      <c r="B89" s="193"/>
      <c r="C89" s="6"/>
      <c r="D89" s="221"/>
      <c r="E89" s="221"/>
      <c r="F89" s="165"/>
      <c r="G89" s="164"/>
      <c r="O89" s="142">
        <f>IF(OR(ISNUMBER(SEARCH("poland",B5))=TRUE,ISNUMBER(SEARCH("spain",B5))=TRUE,ISNUMBER(SEARCH("italy",B5))=TRUE,ISNUMBER(SEARCH("france",B5))=TRUE,ISNUMBER(SEARCH("turkey",B5))=TRUE,ISNUMBER(SEARCH("germany",B5))=TRUE),1,0)</f>
        <v>0</v>
      </c>
      <c r="P89" s="142" t="str">
        <f>IF(O89=1,4300,"")</f>
        <v/>
      </c>
      <c r="Q89" s="144" t="str">
        <f>IF(B86&lt;&gt;"",ROUND(12*(B86/(SUM(P85:P89))),0),IF(B91&lt;&gt;"",ROUND(12*(B91/(SUM(P85:P89))),0),"NA"))</f>
        <v>NA</v>
      </c>
    </row>
    <row r="90" spans="1:17" ht="120" customHeight="1" x14ac:dyDescent="0.3">
      <c r="A90" s="201"/>
      <c r="B90" s="195"/>
      <c r="C90" s="6"/>
      <c r="D90" s="221"/>
      <c r="E90" s="221"/>
      <c r="F90" s="165"/>
      <c r="G90" s="164"/>
      <c r="O90" s="144" t="str">
        <f>IF(Q89="NA","NA",IF(Q89&lt;=12,Q89,IF(Q89&gt;12,12)))</f>
        <v>NA</v>
      </c>
      <c r="P90" s="143"/>
      <c r="Q90" s="143"/>
    </row>
    <row r="91" spans="1:17" ht="30" customHeight="1" x14ac:dyDescent="0.3">
      <c r="A91" s="17" t="str">
        <f>IF(B30="quota sampling","How many completed questionnaires do you target per survey wave?","")</f>
        <v/>
      </c>
      <c r="B91" s="12"/>
      <c r="C91" s="6"/>
      <c r="D91" s="221"/>
      <c r="E91" s="221"/>
      <c r="F91" s="165"/>
      <c r="G91" s="164"/>
      <c r="O91" s="30"/>
    </row>
    <row r="92" spans="1:17" ht="60" customHeight="1" x14ac:dyDescent="0.3">
      <c r="A92" s="17" t="str">
        <f>IF(AND(B30="quota sampling", B91&lt;&gt;""), "How many households/individuals do you think you will need to contact to achieve " &amp;B91&amp; " completed questionnaires per survey wave?","")</f>
        <v/>
      </c>
      <c r="B92" s="12"/>
      <c r="C92" s="6"/>
      <c r="D92" s="221"/>
      <c r="E92" s="221"/>
      <c r="F92" s="165"/>
      <c r="G92" s="164"/>
      <c r="O92" s="44" t="str">
        <f>IF(AND(B79="no",B87&lt;&gt;""),ROUND(4*B87,0),IF(AND(B79="yes",B88&lt;&gt;""),ROUND(4*B88,0),IF(AND(B30="quota sampling",B93&lt;&gt;""),ROUND(4*B93,0),"NA")))</f>
        <v>NA</v>
      </c>
      <c r="P92" s="21" t="s">
        <v>146</v>
      </c>
    </row>
    <row r="93" spans="1:17" ht="30" customHeight="1" x14ac:dyDescent="0.3">
      <c r="A93" s="17" t="str">
        <f>IF(AND(B30="quota sampling",B91&lt;&gt;"",B92&lt;&gt;""),"Based on your entries, you assume to achieve an average response rate of:","")</f>
        <v/>
      </c>
      <c r="B93" s="18" t="str">
        <f>IF(AND(B30="quota sampling",B91&lt;&gt;"",B92&lt;&gt;""),B91/B92,"")</f>
        <v/>
      </c>
      <c r="C93" s="6"/>
      <c r="D93" s="221"/>
      <c r="E93" s="221"/>
      <c r="F93" s="165"/>
      <c r="G93" s="164"/>
      <c r="H93" s="40"/>
      <c r="I93" s="40"/>
      <c r="J93" s="40"/>
      <c r="K93" s="40"/>
      <c r="L93" s="40"/>
      <c r="M93" s="40"/>
      <c r="N93" s="40"/>
      <c r="O93" s="30"/>
    </row>
    <row r="94" spans="1:17" ht="30" customHeight="1" x14ac:dyDescent="0.3">
      <c r="A94" s="189"/>
      <c r="B94" s="190"/>
      <c r="C94" s="6"/>
      <c r="D94" s="221"/>
      <c r="E94" s="221"/>
      <c r="F94" s="165"/>
      <c r="G94" s="164"/>
      <c r="O94" s="30"/>
    </row>
    <row r="95" spans="1:17" ht="30" customHeight="1" x14ac:dyDescent="0.3">
      <c r="A95" s="227" t="s">
        <v>8</v>
      </c>
      <c r="B95" s="193"/>
      <c r="D95" s="221"/>
      <c r="E95" s="221"/>
      <c r="F95" s="165"/>
      <c r="G95" s="164"/>
      <c r="O95" s="30"/>
    </row>
    <row r="96" spans="1:17" ht="120" customHeight="1" x14ac:dyDescent="0.3">
      <c r="A96" s="201"/>
      <c r="B96" s="195"/>
      <c r="D96" s="221"/>
      <c r="E96" s="165"/>
      <c r="F96" s="165"/>
      <c r="G96" s="164"/>
      <c r="O96" s="30"/>
    </row>
    <row r="97" spans="1:15" ht="15" customHeight="1" thickBot="1" x14ac:dyDescent="0.35">
      <c r="A97" s="188"/>
      <c r="B97" s="186"/>
      <c r="D97" s="221"/>
      <c r="E97" s="221"/>
      <c r="F97" s="151"/>
      <c r="G97" s="152"/>
      <c r="O97" s="30"/>
    </row>
    <row r="98" spans="1:15" ht="30" customHeight="1" thickBot="1" x14ac:dyDescent="0.35">
      <c r="A98" s="204" t="s">
        <v>152</v>
      </c>
      <c r="B98" s="208"/>
      <c r="D98" s="235" t="s">
        <v>100</v>
      </c>
      <c r="E98" s="236"/>
      <c r="F98" s="147"/>
      <c r="G98" s="148"/>
      <c r="O98" s="30"/>
    </row>
    <row r="99" spans="1:15" ht="63" customHeight="1" thickTop="1" x14ac:dyDescent="0.3">
      <c r="A99" s="1" t="s">
        <v>2</v>
      </c>
      <c r="B99" s="137"/>
      <c r="D99" s="49" t="str">
        <f>IF(B99="","NA",IF(B99="other","NA",IF(B99&lt;&gt;"",IF(O99=1,"1 / 5",IF(O100=1,"2 / 5",IF(O101=1,"5 / 5",IF(AND(O99=0,O100=0,O101=0),"0 / 5","NA")))))))</f>
        <v>NA</v>
      </c>
      <c r="E99" s="50" t="str">
        <f>IF(B99="","Questionnaire incomplete. Not possible to allocate points for the survey mode applied.",IF(B99="other","No points for the survey mode can be allocated, since a non-standard survey mode is applied.",IF(B99&lt;&gt;"",IF(O99=1,"The chosen survey mode has the downside of not allowing for direct interaction with the respondent.",IF(O100=1,"The survey mode has the advantage of allowing for direct interaction with the respondent. However, interviewer and interviewee do not meet in person, which is a downside compared to a personal interview/CAPI.",IF(O101=1,"The chosen survey mode (personal interviews) has the advantage of allowing for direct interaction with the respondent.",IF(AND(O99=0,O100=0,O101=0),"The chosen survey mode has the downside of not allowing for direct interaction with the respondent. Furthermore, it tends to produce low response rates compared to other modes.")))))))</f>
        <v>Questionnaire incomplete. Not possible to allocate points for the survey mode applied.</v>
      </c>
      <c r="F99" s="49"/>
      <c r="G99" s="50"/>
      <c r="O99" s="30">
        <f>IF(OR(B99="quest. by email",B99="quest. by internet",B99="quest. by post &amp; email"),1,0)</f>
        <v>0</v>
      </c>
    </row>
    <row r="100" spans="1:15" ht="120" customHeight="1" x14ac:dyDescent="0.3">
      <c r="A100" s="1" t="str">
        <f>IF(B99="other", "Specify which survey mode is used.","")</f>
        <v/>
      </c>
      <c r="B100" s="11"/>
      <c r="D100" s="237"/>
      <c r="E100" s="238"/>
      <c r="F100" s="239"/>
      <c r="G100" s="238"/>
      <c r="O100" s="30">
        <f>IF(OR(B99="mixed mode",B99="telephone interview",B99="computer-assisted telephone interview (CATI)"),1,0)</f>
        <v>0</v>
      </c>
    </row>
    <row r="101" spans="1:15" ht="45" customHeight="1" x14ac:dyDescent="0.3">
      <c r="A101" s="1" t="str">
        <f>IF(OR(B99="telephone interview",B99="computer-assisted telephone interview (CATI)",B99="personal interview (Face to Face)",B99="computer-assisted personal interview (CAPI)",B99="other"),"Will interviewers be paid based upon the amount of completed interviews they produce?","")</f>
        <v/>
      </c>
      <c r="B101" s="11"/>
      <c r="D101" s="51" t="str">
        <f>IF(B99="","NA",IF(OR(B99="other",D99="2 / 5", D99="5 / 5"),IF(B101="yes","1 / 1",IF(B101="no","0 / 1",IF(B101="","NA"))),IF(OR(D99="1 / 5",D99="0 / 5"),"0 / 1","")))</f>
        <v>NA</v>
      </c>
      <c r="E101" s="52" t="str">
        <f>IF(B99="","No information on survey mode supplied. Therefore, no points can be allocated for making potential interviewers' wages performance-dependent.",IF(OR(B99="other",D99="2 / 5", D99="5 / 5"),IF(B101="yes","The practice of paying interviewers based on their performance is associated with higher response rates.",IF(B101="no","Interviewers’ pay is not performance-dependent, although that technique is associated with higher response rates.",IF(B101="","No information delivered on whether interviewers' wages are performance-based. Therefore, no points can be allocated for this."))),IF(OR(D99="1 / 5",D99="0 / 5"),"The set-up of the survey does not foresee performance-increasing incentives for interviewers.","")))</f>
        <v>No information on survey mode supplied. Therefore, no points can be allocated for making potential interviewers' wages performance-dependent.</v>
      </c>
      <c r="F101" s="53"/>
      <c r="G101" s="52"/>
      <c r="O101" s="30">
        <f>IF(OR(B99="personal interview (Face to Face)",B99="computer-assisted personal interview (CAPI)"),1,0)</f>
        <v>0</v>
      </c>
    </row>
    <row r="102" spans="1:15" ht="45" customHeight="1" x14ac:dyDescent="0.3">
      <c r="A102" s="1" t="s">
        <v>58</v>
      </c>
      <c r="B102" s="11"/>
      <c r="D102" s="230"/>
      <c r="E102" s="150"/>
      <c r="F102" s="231"/>
      <c r="G102" s="150"/>
      <c r="O102" s="30"/>
    </row>
    <row r="103" spans="1:15" ht="120" customHeight="1" x14ac:dyDescent="0.3">
      <c r="A103" s="1" t="str">
        <f>IF(B102="other", "Explain what will be the field-work period.","")</f>
        <v/>
      </c>
      <c r="B103" s="11"/>
      <c r="D103" s="165"/>
      <c r="E103" s="164"/>
      <c r="F103" s="165"/>
      <c r="G103" s="164"/>
      <c r="O103" s="30"/>
    </row>
    <row r="104" spans="1:15" ht="45" customHeight="1" x14ac:dyDescent="0.3">
      <c r="A104" s="1" t="s">
        <v>59</v>
      </c>
      <c r="B104" s="11"/>
      <c r="D104" s="165"/>
      <c r="E104" s="164"/>
      <c r="F104" s="165"/>
      <c r="G104" s="164"/>
      <c r="O104" s="30"/>
    </row>
    <row r="105" spans="1:15" ht="60" customHeight="1" x14ac:dyDescent="0.3">
      <c r="A105" s="1" t="str">
        <f>IF(B104="yes", "Will you publish the survey results before or after the Commission publication 
(i.e. before / after the second last working day of the reference month)?", "")</f>
        <v/>
      </c>
      <c r="B105" s="11"/>
      <c r="D105" s="165"/>
      <c r="E105" s="164"/>
      <c r="F105" s="165"/>
      <c r="G105" s="164"/>
      <c r="O105" s="30"/>
    </row>
    <row r="106" spans="1:15" ht="30" customHeight="1" x14ac:dyDescent="0.3">
      <c r="A106" s="185" t="s">
        <v>10</v>
      </c>
      <c r="B106" s="193"/>
      <c r="D106" s="165"/>
      <c r="E106" s="164"/>
      <c r="F106" s="165"/>
      <c r="G106" s="164"/>
      <c r="O106" s="30"/>
    </row>
    <row r="107" spans="1:15" ht="120" customHeight="1" x14ac:dyDescent="0.3">
      <c r="A107" s="210"/>
      <c r="B107" s="211"/>
      <c r="D107" s="165"/>
      <c r="E107" s="164"/>
      <c r="F107" s="165"/>
      <c r="G107" s="164"/>
      <c r="O107" s="30"/>
    </row>
    <row r="108" spans="1:15" ht="15" customHeight="1" thickBot="1" x14ac:dyDescent="0.35">
      <c r="A108" s="187"/>
      <c r="B108" s="186"/>
      <c r="D108" s="166"/>
      <c r="E108" s="167"/>
      <c r="F108" s="166"/>
      <c r="G108" s="167"/>
      <c r="O108" s="30"/>
    </row>
    <row r="109" spans="1:15" ht="30" customHeight="1" thickTop="1" thickBot="1" x14ac:dyDescent="0.35">
      <c r="A109" s="204" t="s">
        <v>153</v>
      </c>
      <c r="B109" s="208"/>
      <c r="D109" s="100" t="s">
        <v>101</v>
      </c>
      <c r="E109" s="101"/>
      <c r="F109" s="98"/>
      <c r="G109" s="99"/>
      <c r="O109" s="30"/>
    </row>
    <row r="110" spans="1:15" ht="60" customHeight="1" thickTop="1" x14ac:dyDescent="0.3">
      <c r="A110" s="1" t="s">
        <v>3</v>
      </c>
      <c r="B110" s="11"/>
      <c r="D110" s="49" t="str">
        <f>IF(B110="","NA",IF(B110="yes","1 / 1", IF(B110="no","0 / 1")))</f>
        <v>NA</v>
      </c>
      <c r="E110" s="50" t="str">
        <f>IF(B110="","Questionnaire incomplete. Not possible to allocate points for taking response-rate enhacing measures prior to conducting survey.",IF(B110="yes","Response-rate enhancing measures prior to conducting the survey are applied.", IF(B110="no","No response-rate enhancing measures prior to conducting the survey are applied.")))</f>
        <v>Questionnaire incomplete. Not possible to allocate points for taking response-rate enhacing measures prior to conducting survey.</v>
      </c>
      <c r="F110" s="49"/>
      <c r="G110" s="50"/>
      <c r="O110" s="30"/>
    </row>
    <row r="111" spans="1:15" ht="30" customHeight="1" x14ac:dyDescent="0.3">
      <c r="A111" s="217" t="str">
        <f>IF(B110="yes","Select from the below options the measures that will be taken:","")</f>
        <v/>
      </c>
      <c r="B111" s="218"/>
      <c r="D111" s="230"/>
      <c r="E111" s="150"/>
      <c r="F111" s="231"/>
      <c r="G111" s="150"/>
      <c r="O111" s="30"/>
    </row>
    <row r="112" spans="1:15" ht="30" customHeight="1" x14ac:dyDescent="0.3">
      <c r="A112" s="1" t="str">
        <f>IF(B110="yes","&gt;&gt; advance letter","")</f>
        <v/>
      </c>
      <c r="B112" s="11"/>
      <c r="D112" s="165"/>
      <c r="E112" s="164"/>
      <c r="F112" s="165"/>
      <c r="G112" s="164"/>
      <c r="O112" s="30"/>
    </row>
    <row r="113" spans="1:15" ht="30" customHeight="1" x14ac:dyDescent="0.3">
      <c r="A113" s="1" t="str">
        <f>IF(B110="yes", "&gt;&gt; gadgets accompanying the advance letter (e.g. pens)", "")</f>
        <v/>
      </c>
      <c r="B113" s="11"/>
      <c r="D113" s="165"/>
      <c r="E113" s="164"/>
      <c r="F113" s="165"/>
      <c r="G113" s="164"/>
      <c r="O113" s="30"/>
    </row>
    <row r="114" spans="1:15" ht="30" customHeight="1" x14ac:dyDescent="0.3">
      <c r="A114" s="1" t="str">
        <f>IF(B110="yes","&gt;&gt; advance call","")</f>
        <v/>
      </c>
      <c r="B114" s="11"/>
      <c r="D114" s="165"/>
      <c r="E114" s="164"/>
      <c r="F114" s="165"/>
      <c r="G114" s="164"/>
      <c r="O114" s="30"/>
    </row>
    <row r="115" spans="1:15" ht="120" customHeight="1" x14ac:dyDescent="0.3">
      <c r="A115" s="1" t="str">
        <f>IF(B110="yes", "&gt;&gt; other measures (specify in the cell on the right):", "")</f>
        <v/>
      </c>
      <c r="B115" s="11"/>
      <c r="D115" s="154"/>
      <c r="E115" s="155"/>
      <c r="F115" s="154"/>
      <c r="G115" s="155"/>
      <c r="H115" s="40"/>
      <c r="I115" s="40"/>
      <c r="J115" s="40"/>
      <c r="K115" s="40"/>
      <c r="L115" s="40"/>
      <c r="M115" s="40"/>
      <c r="N115" s="40"/>
      <c r="O115" s="30"/>
    </row>
    <row r="116" spans="1:15" ht="45" customHeight="1" x14ac:dyDescent="0.3">
      <c r="A116" s="1" t="s">
        <v>4</v>
      </c>
      <c r="B116" s="11"/>
      <c r="D116" s="51" t="str">
        <f>IF(B116="","NA",IF(B116="yes","1 / 1", IF(B116="no","0 / 1")))</f>
        <v>NA</v>
      </c>
      <c r="E116" s="52" t="str">
        <f>IF(B116="","Questionnaire incomplete. Not possible to allocate points for taking response-rate enhacing measures conditional on participation in the survey.",IF(B116="yes","Response-rate enhancing measures conditional on participation in the survey are applied.", IF(B116="no","No response-rate enhancing measures conditional on participation in the survey are applied.")))</f>
        <v>Questionnaire incomplete. Not possible to allocate points for taking response-rate enhacing measures conditional on participation in the survey.</v>
      </c>
      <c r="F116" s="53"/>
      <c r="G116" s="52"/>
      <c r="O116" s="30"/>
    </row>
    <row r="117" spans="1:15" ht="30" customHeight="1" x14ac:dyDescent="0.3">
      <c r="A117" s="217" t="str">
        <f>IF(B116="yes","Select from the below options:","")</f>
        <v/>
      </c>
      <c r="B117" s="218"/>
      <c r="D117" s="230"/>
      <c r="E117" s="150"/>
      <c r="F117" s="231"/>
      <c r="G117" s="150"/>
      <c r="O117" s="30"/>
    </row>
    <row r="118" spans="1:15" ht="45" customHeight="1" x14ac:dyDescent="0.3">
      <c r="A118" s="1" t="str">
        <f>IF(B116="yes","&gt;&gt; prices (e.g. pens, money) for each respondent or for the winners of a lottery conducted among all respondents","")</f>
        <v/>
      </c>
      <c r="B118" s="11"/>
      <c r="D118" s="165"/>
      <c r="E118" s="164"/>
      <c r="F118" s="165"/>
      <c r="G118" s="164"/>
      <c r="O118" s="30"/>
    </row>
    <row r="119" spans="1:15" ht="120" customHeight="1" x14ac:dyDescent="0.3">
      <c r="A119" s="1" t="str">
        <f>IF(B116="yes","&gt;&gt; other measures (please specify in the cell on the right)","")</f>
        <v/>
      </c>
      <c r="B119" s="11"/>
      <c r="D119" s="154"/>
      <c r="E119" s="155"/>
      <c r="F119" s="165"/>
      <c r="G119" s="164"/>
      <c r="O119" s="30"/>
    </row>
    <row r="120" spans="1:15" ht="75" customHeight="1" x14ac:dyDescent="0.3">
      <c r="A120" s="1" t="s">
        <v>57</v>
      </c>
      <c r="B120" s="11"/>
      <c r="D120" s="51" t="str">
        <f>IF(B120="","NA",IF(B120="yes","1 / 1", IF(B120="no","0 / 1")))</f>
        <v>NA</v>
      </c>
      <c r="E120" s="52" t="str">
        <f>IF(B120="","Questionnaire incomplete. Not possible to allocate points for taking response-rate enhacing measures after first attempt to contact respondents.",IF(B120="yes","Response-rate enhancing measures after first attempt to contact respondents are applied.", IF(B120="no","No response-rate enhancing measures after the first attempt to contact a given respondent are applied.")))</f>
        <v>Questionnaire incomplete. Not possible to allocate points for taking response-rate enhacing measures after first attempt to contact respondents.</v>
      </c>
      <c r="F120" s="51"/>
      <c r="G120" s="52"/>
      <c r="O120" s="30"/>
    </row>
    <row r="121" spans="1:15" ht="30" customHeight="1" x14ac:dyDescent="0.3">
      <c r="A121" s="217" t="str">
        <f>IF(B120="yes","Select from the below options:","")</f>
        <v/>
      </c>
      <c r="B121" s="218"/>
      <c r="D121" s="230"/>
      <c r="E121" s="150"/>
      <c r="F121" s="231"/>
      <c r="G121" s="150"/>
      <c r="O121" s="30"/>
    </row>
    <row r="122" spans="1:15" ht="30" customHeight="1" x14ac:dyDescent="0.3">
      <c r="A122" s="1" t="str">
        <f>IF(B120="yes","&gt;&gt; re-sending of questionnaire to non-responding individuals/households","")</f>
        <v/>
      </c>
      <c r="B122" s="11"/>
      <c r="D122" s="165"/>
      <c r="E122" s="164"/>
      <c r="F122" s="165"/>
      <c r="G122" s="164"/>
      <c r="O122" s="30"/>
    </row>
    <row r="123" spans="1:15" ht="30" customHeight="1" x14ac:dyDescent="0.3">
      <c r="A123" s="1" t="str">
        <f>IF(B120="yes","&gt;&gt; calling back the non-responding individual/household by telephone","")</f>
        <v/>
      </c>
      <c r="B123" s="11"/>
      <c r="D123" s="165"/>
      <c r="E123" s="164"/>
      <c r="F123" s="165"/>
      <c r="G123" s="164"/>
      <c r="H123" s="40"/>
      <c r="I123" s="40"/>
      <c r="J123" s="40"/>
      <c r="K123" s="40"/>
      <c r="L123" s="40"/>
      <c r="M123" s="40"/>
      <c r="N123" s="40"/>
      <c r="O123" s="30"/>
    </row>
    <row r="124" spans="1:15" ht="120" customHeight="1" x14ac:dyDescent="0.3">
      <c r="A124" s="1" t="str">
        <f>IF(B120="yes","&gt;&gt; other measures (please specify in the cell on the right)","")</f>
        <v/>
      </c>
      <c r="B124" s="11"/>
      <c r="D124" s="165"/>
      <c r="E124" s="164"/>
      <c r="F124" s="165"/>
      <c r="G124" s="164"/>
      <c r="O124" s="30"/>
    </row>
    <row r="125" spans="1:15" ht="190.05" customHeight="1" x14ac:dyDescent="0.3">
      <c r="A125" s="2" t="str">
        <f>IF(AND(B79="yes",B87&lt;&gt;"",B88&lt;&gt;""),"You think to achieve a conversion rate of "&amp;C87&amp;"% for your panel and a response rate of "&amp;C88&amp;"%. Please indicate why the rates are realistic. Have you achieved such high response /conversion rates in comparable surveys? If so, in which surveys?",IF(AND(B79="yes",B87="",B88&lt;&gt;""),"You think to achieve a response rate of "&amp;C88&amp;"% for your panel. Please indicate why this rate is realistic. Have you achieved such high response rates in comparable surveys? If so, in which surveys?",IF(AND(B79="yes",B87&lt;&gt;"",B88=""),"You think to achieve a conversion rate of "&amp;C87&amp;"% for your panel. Please indicate why this rate is realistic. Have you achieved such high conversion rates in comparable surveys? If so, in which surveys?","")))</f>
        <v/>
      </c>
      <c r="B125" s="11"/>
      <c r="C125" s="4"/>
      <c r="D125" s="165"/>
      <c r="E125" s="164"/>
      <c r="F125" s="165"/>
      <c r="G125" s="164"/>
      <c r="O125" s="30"/>
    </row>
    <row r="126" spans="1:15" ht="190.05" customHeight="1" x14ac:dyDescent="0.3">
      <c r="A126" s="1" t="str">
        <f>IF(AND(B79="no",B87&lt;&gt;""),"You assume to achieve a response rate of " &amp;C87&amp; "% for your sample.  Please explain why you consider such a response rate realistic. Have you achieved such high response rates in comparable surveys? If yes, in which surveys?","")</f>
        <v/>
      </c>
      <c r="B126" s="11"/>
      <c r="D126" s="165"/>
      <c r="E126" s="164"/>
      <c r="F126" s="165"/>
      <c r="G126" s="164"/>
      <c r="O126" s="30"/>
    </row>
    <row r="127" spans="1:15" ht="190.05" customHeight="1" x14ac:dyDescent="0.3">
      <c r="A127" s="1" t="str">
        <f>IF(AND(B30="quota sampling",B93&lt;&gt;""),"You assume to achieve a response rate of "&amp;ROUND(B93*100,1)&amp;"% for your sample.  Please explain why you consider such a response rate realistic. Have you achieved such high response rates in comparable surveys? If yes, in which surveys?","")</f>
        <v/>
      </c>
      <c r="B127" s="11"/>
      <c r="D127" s="165"/>
      <c r="E127" s="164"/>
      <c r="F127" s="165"/>
      <c r="G127" s="164"/>
      <c r="O127" s="30"/>
    </row>
    <row r="128" spans="1:15" ht="30" customHeight="1" x14ac:dyDescent="0.3">
      <c r="A128" s="212" t="s">
        <v>11</v>
      </c>
      <c r="B128" s="193"/>
      <c r="D128" s="165"/>
      <c r="E128" s="164"/>
      <c r="F128" s="165"/>
      <c r="G128" s="164"/>
      <c r="O128" s="30"/>
    </row>
    <row r="129" spans="1:17" ht="120" customHeight="1" x14ac:dyDescent="0.3">
      <c r="A129" s="210"/>
      <c r="B129" s="211"/>
      <c r="D129" s="165"/>
      <c r="E129" s="164"/>
      <c r="F129" s="165"/>
      <c r="G129" s="164"/>
      <c r="H129" s="40"/>
      <c r="I129" s="40"/>
      <c r="J129" s="40"/>
      <c r="K129" s="40"/>
      <c r="L129" s="40"/>
      <c r="M129" s="40"/>
      <c r="N129" s="40"/>
      <c r="O129" s="30"/>
    </row>
    <row r="130" spans="1:17" ht="15" customHeight="1" thickBot="1" x14ac:dyDescent="0.35">
      <c r="A130" s="187"/>
      <c r="B130" s="186"/>
      <c r="D130" s="166"/>
      <c r="E130" s="167"/>
      <c r="F130" s="166"/>
      <c r="G130" s="167"/>
      <c r="O130" s="30"/>
    </row>
    <row r="131" spans="1:17" ht="30" customHeight="1" thickTop="1" thickBot="1" x14ac:dyDescent="0.35">
      <c r="A131" s="204" t="s">
        <v>154</v>
      </c>
      <c r="B131" s="208"/>
      <c r="D131" s="102" t="s">
        <v>102</v>
      </c>
      <c r="E131" s="103"/>
      <c r="F131" s="98"/>
      <c r="G131" s="99"/>
      <c r="O131" s="30"/>
    </row>
    <row r="132" spans="1:17" ht="30" customHeight="1" thickTop="1" x14ac:dyDescent="0.3">
      <c r="A132" s="1" t="s">
        <v>5</v>
      </c>
      <c r="B132" s="11"/>
      <c r="D132" s="228"/>
      <c r="E132" s="229"/>
      <c r="F132" s="232"/>
      <c r="G132" s="229"/>
    </row>
    <row r="133" spans="1:17" ht="120" customHeight="1" x14ac:dyDescent="0.3">
      <c r="A133" s="1" t="str">
        <f>IF(B132="imputation","Explain the imputation technique you will apply.",IF(B132="other","Explain which method you will apply to deal with item non-response.",""))</f>
        <v/>
      </c>
      <c r="B133" s="11"/>
      <c r="D133" s="165"/>
      <c r="E133" s="164"/>
      <c r="F133" s="165"/>
      <c r="G133" s="164"/>
      <c r="H133" s="45"/>
      <c r="I133" s="45"/>
      <c r="J133" s="45"/>
      <c r="K133" s="45"/>
      <c r="L133" s="45"/>
      <c r="M133" s="45"/>
      <c r="N133" s="45"/>
      <c r="O133" s="45"/>
      <c r="P133" s="45"/>
      <c r="Q133" s="45"/>
    </row>
    <row r="134" spans="1:17" ht="30" customHeight="1" x14ac:dyDescent="0.3">
      <c r="A134" s="1" t="s">
        <v>47</v>
      </c>
      <c r="B134" s="11"/>
      <c r="D134" s="165"/>
      <c r="E134" s="164"/>
      <c r="F134" s="165"/>
      <c r="G134" s="164"/>
      <c r="H134" s="45"/>
      <c r="I134" s="45"/>
      <c r="J134" s="45"/>
      <c r="K134" s="45"/>
      <c r="L134" s="45"/>
      <c r="M134" s="45"/>
      <c r="N134" s="45"/>
      <c r="O134" s="45"/>
      <c r="P134" s="45"/>
      <c r="Q134" s="45"/>
    </row>
    <row r="135" spans="1:17" ht="120" customHeight="1" x14ac:dyDescent="0.3">
      <c r="A135" s="1" t="str">
        <f>IF(B134="imputation","Explain the imputation technique you will apply.",IF(B134="other","Explain which method you will apply to deal with unit non-response.",""))</f>
        <v/>
      </c>
      <c r="B135" s="11"/>
      <c r="D135" s="165"/>
      <c r="E135" s="164"/>
      <c r="F135" s="165"/>
      <c r="G135" s="164"/>
      <c r="H135" s="45"/>
      <c r="I135" s="45"/>
      <c r="J135" s="45"/>
      <c r="K135" s="45"/>
      <c r="L135" s="45"/>
      <c r="M135" s="45"/>
      <c r="N135" s="45"/>
      <c r="O135" s="45"/>
      <c r="P135" s="45"/>
      <c r="Q135" s="45"/>
    </row>
    <row r="136" spans="1:17" ht="30" customHeight="1" x14ac:dyDescent="0.3">
      <c r="A136" s="213" t="s">
        <v>12</v>
      </c>
      <c r="B136" s="214"/>
      <c r="D136" s="165"/>
      <c r="E136" s="164"/>
      <c r="F136" s="154"/>
      <c r="G136" s="155"/>
      <c r="H136" s="45"/>
      <c r="I136" s="45"/>
      <c r="J136" s="45"/>
      <c r="K136" s="45"/>
      <c r="L136" s="45"/>
      <c r="M136" s="45"/>
      <c r="N136" s="45"/>
      <c r="O136" s="45"/>
      <c r="P136" s="45"/>
      <c r="Q136" s="45"/>
    </row>
    <row r="137" spans="1:17" ht="120" customHeight="1" x14ac:dyDescent="0.3">
      <c r="A137" s="210"/>
      <c r="B137" s="211"/>
      <c r="D137" s="165"/>
      <c r="E137" s="164"/>
      <c r="F137" s="133"/>
      <c r="G137" s="95"/>
      <c r="H137" s="45"/>
      <c r="I137" s="45"/>
      <c r="J137" s="45"/>
      <c r="K137" s="45"/>
      <c r="L137" s="45"/>
      <c r="M137" s="45"/>
      <c r="N137" s="45"/>
      <c r="O137" s="45"/>
      <c r="P137" s="45"/>
      <c r="Q137" s="45"/>
    </row>
    <row r="138" spans="1:17" ht="15" customHeight="1" thickBot="1" x14ac:dyDescent="0.35">
      <c r="A138" s="187"/>
      <c r="B138" s="186"/>
      <c r="D138" s="166"/>
      <c r="E138" s="167"/>
      <c r="F138" s="233"/>
      <c r="G138" s="234"/>
      <c r="H138" s="45"/>
      <c r="I138" s="45"/>
      <c r="J138" s="45"/>
      <c r="K138" s="45"/>
      <c r="L138" s="45"/>
      <c r="M138" s="45"/>
      <c r="N138" s="45"/>
      <c r="O138" s="45"/>
      <c r="P138" s="45"/>
      <c r="Q138" s="45"/>
    </row>
    <row r="139" spans="1:17" ht="30" customHeight="1" thickTop="1" thickBot="1" x14ac:dyDescent="0.35">
      <c r="A139" s="204" t="s">
        <v>155</v>
      </c>
      <c r="B139" s="208"/>
      <c r="D139" s="104" t="s">
        <v>103</v>
      </c>
      <c r="E139" s="105"/>
      <c r="F139" s="105"/>
      <c r="G139" s="106"/>
      <c r="H139" s="45"/>
      <c r="I139" s="45"/>
      <c r="J139" s="45"/>
      <c r="K139" s="45"/>
      <c r="L139" s="45"/>
      <c r="M139" s="45"/>
      <c r="N139" s="45"/>
      <c r="O139" s="45"/>
      <c r="P139" s="45"/>
      <c r="Q139" s="45"/>
    </row>
    <row r="140" spans="1:17" ht="45" customHeight="1" thickTop="1" x14ac:dyDescent="0.3">
      <c r="A140" s="1" t="s">
        <v>13</v>
      </c>
      <c r="B140" s="11"/>
      <c r="D140" s="248"/>
      <c r="E140" s="247"/>
      <c r="F140" s="246"/>
      <c r="G140" s="247"/>
      <c r="H140" s="45"/>
      <c r="I140" s="45"/>
      <c r="J140" s="45"/>
      <c r="K140" s="45"/>
      <c r="L140" s="45"/>
      <c r="M140" s="45"/>
      <c r="N140" s="45"/>
      <c r="O140" s="45"/>
      <c r="P140" s="45"/>
      <c r="Q140" s="45"/>
    </row>
    <row r="141" spans="1:17" ht="60" customHeight="1" x14ac:dyDescent="0.3">
      <c r="A141" s="1" t="str">
        <f>IF(B140="yes","How many survey questions which are NOT from the harmonised EU BCS questionnaire will you include on your questionnaire (use cell on the right)?","")</f>
        <v/>
      </c>
      <c r="B141" s="11"/>
      <c r="D141" s="51" t="str">
        <f>IF(AND(B140="",B141=""),"NA",IF(AND(B140="no",B141&lt;&gt;""),"NA",IF(AND(B140="no",B141=""),"3 / 3",IF(B140="yes",IF(B141="","NA",IF(B141&lt;=3,"3 / 3",IF(B141&lt;=6,"1 / 3","0 / 3"))),"NA"))))</f>
        <v>NA</v>
      </c>
      <c r="E141" s="52" t="str">
        <f>IF(AND(B140="",B141=""),"Questionnaire incomplete.",IF(AND(B140="no",B141&lt;&gt;""),"Entries are contradictory.",IF(AND(B140="no",B141=""),"The absence of additional country-specific questions keeps the questionnaire short and increases the chances of a prudent completion by the respondent.",IF(B140="yes",IF(B141="","Entries are contradictory.",IF(B141&lt;=3,"The low number of additional country-specific questions keeps the questionnaire short and increases the chances of a prudent completion by the respondent.",IF(B141&lt;=6,"The rather high number of additional country-specific questions makes the questionnaire long and, to some extent, decreases the chances of a prudent completion by the respondent.","The high number of additional country-specific questions makes the questionnaire long and decreases the chances of a prudent completion by the respondent."))),"Questionnaire incomplete."))))</f>
        <v>Questionnaire incomplete.</v>
      </c>
      <c r="F141" s="53"/>
      <c r="G141" s="52"/>
      <c r="H141" s="45"/>
      <c r="I141" s="45"/>
      <c r="J141" s="45"/>
      <c r="K141" s="45"/>
      <c r="L141" s="45"/>
      <c r="M141" s="56"/>
      <c r="N141" s="45"/>
      <c r="O141" s="45"/>
      <c r="P141" s="45"/>
      <c r="Q141" s="45"/>
    </row>
    <row r="142" spans="1:17" ht="30" customHeight="1" x14ac:dyDescent="0.3">
      <c r="A142" s="213" t="str">
        <f>IF(B140="yes", "Do you have further comments regarding the inclusion of non EU BCS questions in your questionnaire (use cell below)?","")</f>
        <v/>
      </c>
      <c r="B142" s="214"/>
      <c r="D142" s="230"/>
      <c r="E142" s="150"/>
      <c r="F142" s="240"/>
      <c r="G142" s="241"/>
      <c r="H142" s="45"/>
      <c r="I142" s="45"/>
      <c r="J142" s="45"/>
      <c r="K142" s="45"/>
      <c r="L142" s="45"/>
      <c r="M142" s="55"/>
      <c r="N142" s="45"/>
      <c r="O142" s="45"/>
      <c r="P142" s="45"/>
      <c r="Q142" s="45"/>
    </row>
    <row r="143" spans="1:17" ht="120" customHeight="1" x14ac:dyDescent="0.3">
      <c r="A143" s="201"/>
      <c r="B143" s="195"/>
      <c r="D143" s="165"/>
      <c r="E143" s="164"/>
      <c r="F143" s="242"/>
      <c r="G143" s="243"/>
      <c r="H143" s="45"/>
      <c r="I143" s="45"/>
      <c r="J143" s="45"/>
      <c r="K143" s="45"/>
      <c r="L143" s="45"/>
      <c r="M143" s="45"/>
      <c r="N143" s="45"/>
      <c r="O143" s="45"/>
      <c r="P143" s="45"/>
      <c r="Q143" s="45"/>
    </row>
    <row r="144" spans="1:17" ht="15" customHeight="1" thickBot="1" x14ac:dyDescent="0.35">
      <c r="A144" s="187"/>
      <c r="B144" s="186"/>
      <c r="D144" s="166"/>
      <c r="E144" s="167"/>
      <c r="F144" s="244"/>
      <c r="G144" s="245"/>
      <c r="H144" s="45"/>
      <c r="I144" s="45"/>
      <c r="J144" s="45"/>
      <c r="K144" s="45"/>
      <c r="L144" s="45"/>
      <c r="M144" s="45"/>
      <c r="N144" s="45"/>
      <c r="O144" s="45"/>
      <c r="P144" s="45"/>
      <c r="Q144" s="45"/>
    </row>
    <row r="145" spans="1:17" ht="30" customHeight="1" thickTop="1" thickBot="1" x14ac:dyDescent="0.35">
      <c r="A145" s="204" t="s">
        <v>156</v>
      </c>
      <c r="B145" s="208"/>
      <c r="D145" s="102" t="s">
        <v>104</v>
      </c>
      <c r="E145" s="103"/>
      <c r="F145" s="98"/>
      <c r="G145" s="99"/>
      <c r="H145" s="45"/>
      <c r="I145" s="45"/>
      <c r="J145" s="45"/>
      <c r="K145" s="45"/>
      <c r="L145" s="45"/>
      <c r="M145" s="45"/>
      <c r="N145" s="45"/>
      <c r="O145" s="45"/>
      <c r="P145" s="45"/>
      <c r="Q145" s="45"/>
    </row>
    <row r="146" spans="1:17" ht="30" customHeight="1" thickTop="1" x14ac:dyDescent="0.3">
      <c r="A146" s="185" t="s">
        <v>14</v>
      </c>
      <c r="B146" s="209"/>
      <c r="D146" s="228"/>
      <c r="E146" s="229"/>
      <c r="F146" s="246"/>
      <c r="G146" s="247"/>
      <c r="H146" s="45"/>
      <c r="I146" s="45"/>
      <c r="J146" s="45"/>
      <c r="K146" s="45"/>
      <c r="L146" s="45"/>
      <c r="M146" s="45"/>
      <c r="N146" s="45"/>
      <c r="O146" s="45"/>
      <c r="P146" s="45"/>
      <c r="Q146" s="45"/>
    </row>
    <row r="147" spans="1:17" ht="120" customHeight="1" thickBot="1" x14ac:dyDescent="0.35">
      <c r="A147" s="210"/>
      <c r="B147" s="211"/>
      <c r="D147" s="166"/>
      <c r="E147" s="167"/>
      <c r="F147" s="134"/>
      <c r="G147" s="74"/>
      <c r="H147" s="45"/>
      <c r="I147" s="45"/>
      <c r="J147" s="45"/>
      <c r="K147" s="45"/>
      <c r="L147" s="45"/>
      <c r="M147" s="45"/>
      <c r="N147" s="45"/>
      <c r="O147" s="45"/>
      <c r="P147" s="45"/>
      <c r="Q147" s="45"/>
    </row>
    <row r="148" spans="1:17" ht="30" customHeight="1" thickTop="1" x14ac:dyDescent="0.3">
      <c r="C148" s="79"/>
      <c r="D148" s="80"/>
      <c r="E148" s="81"/>
      <c r="F148" s="80"/>
      <c r="G148" s="81"/>
      <c r="H148" s="82"/>
      <c r="I148" s="45"/>
      <c r="J148" s="45"/>
      <c r="K148" s="45"/>
      <c r="L148" s="45"/>
      <c r="M148" s="45"/>
      <c r="N148" s="45"/>
      <c r="O148" s="45"/>
      <c r="P148" s="45"/>
      <c r="Q148" s="45"/>
    </row>
    <row r="149" spans="1:17" ht="30" customHeight="1" x14ac:dyDescent="0.3">
      <c r="B149" s="9" t="s">
        <v>15</v>
      </c>
      <c r="C149" s="79"/>
      <c r="D149" s="81"/>
      <c r="E149" s="81"/>
      <c r="F149" s="81"/>
      <c r="G149" s="81"/>
      <c r="H149" s="82"/>
      <c r="I149" s="45"/>
      <c r="J149" s="45"/>
      <c r="K149" s="45"/>
      <c r="L149" s="45"/>
      <c r="M149" s="45"/>
      <c r="N149" s="45"/>
      <c r="O149" s="45"/>
      <c r="P149" s="45"/>
      <c r="Q149" s="45"/>
    </row>
    <row r="150" spans="1:17" ht="30" customHeight="1" x14ac:dyDescent="0.3">
      <c r="B150" s="9" t="s">
        <v>16</v>
      </c>
      <c r="C150" s="79"/>
      <c r="D150" s="81"/>
      <c r="E150" s="81"/>
      <c r="F150" s="81"/>
      <c r="G150" s="81"/>
      <c r="H150" s="82"/>
      <c r="I150" s="45"/>
      <c r="J150" s="45"/>
      <c r="K150" s="45"/>
      <c r="L150" s="45"/>
      <c r="M150" s="45"/>
      <c r="N150" s="45"/>
      <c r="O150" s="45"/>
      <c r="P150" s="45"/>
      <c r="Q150" s="45"/>
    </row>
    <row r="151" spans="1:17" ht="30" customHeight="1" x14ac:dyDescent="0.3">
      <c r="B151" s="9" t="s">
        <v>17</v>
      </c>
      <c r="C151" s="79"/>
      <c r="D151" s="75"/>
      <c r="E151" s="76"/>
      <c r="F151" s="77"/>
      <c r="G151" s="78"/>
      <c r="H151" s="82"/>
      <c r="I151" s="45"/>
      <c r="J151" s="45"/>
      <c r="K151" s="45"/>
      <c r="L151" s="45"/>
      <c r="M151" s="45"/>
      <c r="N151" s="45"/>
      <c r="O151" s="45"/>
      <c r="P151" s="45"/>
      <c r="Q151" s="45"/>
    </row>
    <row r="152" spans="1:17" ht="30" customHeight="1" x14ac:dyDescent="0.3">
      <c r="B152" s="9" t="s">
        <v>18</v>
      </c>
      <c r="C152" s="79"/>
      <c r="D152" s="80"/>
      <c r="E152" s="81"/>
      <c r="F152" s="80"/>
      <c r="G152" s="81"/>
      <c r="H152" s="82"/>
      <c r="I152" s="45"/>
      <c r="J152" s="45"/>
      <c r="K152" s="45"/>
      <c r="L152" s="45"/>
      <c r="M152" s="45"/>
      <c r="N152" s="45"/>
      <c r="O152" s="45"/>
      <c r="P152" s="45"/>
      <c r="Q152" s="45"/>
    </row>
    <row r="153" spans="1:17" ht="30" customHeight="1" x14ac:dyDescent="0.3">
      <c r="B153" s="9" t="s">
        <v>19</v>
      </c>
      <c r="C153" s="79"/>
      <c r="D153" s="81"/>
      <c r="E153" s="81"/>
      <c r="F153" s="80"/>
      <c r="G153" s="79"/>
      <c r="H153" s="82"/>
      <c r="I153" s="45"/>
      <c r="J153" s="45"/>
      <c r="K153" s="45"/>
      <c r="L153" s="45"/>
      <c r="M153" s="45"/>
      <c r="N153" s="45"/>
      <c r="O153" s="45"/>
      <c r="P153" s="45"/>
      <c r="Q153" s="45"/>
    </row>
    <row r="154" spans="1:17" ht="30" customHeight="1" x14ac:dyDescent="0.3">
      <c r="B154" s="9" t="s">
        <v>20</v>
      </c>
      <c r="C154" s="79"/>
      <c r="D154" s="81"/>
      <c r="E154" s="81"/>
      <c r="F154" s="80"/>
      <c r="G154" s="81"/>
      <c r="H154" s="82"/>
      <c r="I154" s="45"/>
      <c r="J154" s="45"/>
      <c r="K154" s="45"/>
      <c r="L154" s="45"/>
      <c r="M154" s="45"/>
      <c r="N154" s="45"/>
      <c r="O154" s="45"/>
      <c r="P154" s="45"/>
      <c r="Q154" s="45"/>
    </row>
    <row r="155" spans="1:17" ht="30" customHeight="1" x14ac:dyDescent="0.3">
      <c r="B155" s="9" t="s">
        <v>21</v>
      </c>
      <c r="C155" s="79"/>
      <c r="D155" s="73"/>
      <c r="E155" s="73"/>
      <c r="F155" s="73"/>
      <c r="G155" s="73"/>
      <c r="H155" s="82"/>
      <c r="I155" s="45"/>
      <c r="J155" s="45"/>
      <c r="K155" s="45"/>
      <c r="L155" s="45"/>
      <c r="M155" s="45"/>
      <c r="N155" s="45"/>
      <c r="O155" s="45"/>
      <c r="P155" s="45"/>
      <c r="Q155" s="45"/>
    </row>
    <row r="156" spans="1:17" ht="30" customHeight="1" x14ac:dyDescent="0.3">
      <c r="B156" s="9" t="s">
        <v>22</v>
      </c>
      <c r="C156" s="79"/>
      <c r="D156" s="73"/>
      <c r="E156" s="73"/>
      <c r="F156" s="73"/>
      <c r="G156" s="73"/>
      <c r="H156" s="82"/>
      <c r="I156" s="45"/>
      <c r="J156" s="45"/>
      <c r="K156" s="45"/>
      <c r="L156" s="45"/>
      <c r="M156" s="45"/>
      <c r="N156" s="45"/>
      <c r="O156" s="45"/>
      <c r="P156" s="45"/>
      <c r="Q156" s="45"/>
    </row>
    <row r="157" spans="1:17" ht="30" customHeight="1" x14ac:dyDescent="0.3">
      <c r="A157" s="4"/>
      <c r="B157" s="9" t="s">
        <v>23</v>
      </c>
      <c r="D157" s="54"/>
      <c r="E157" s="54"/>
      <c r="F157" s="54"/>
      <c r="G157" s="54"/>
      <c r="H157" s="45"/>
      <c r="I157" s="45"/>
      <c r="J157" s="45"/>
      <c r="K157" s="45"/>
      <c r="L157" s="45"/>
      <c r="M157" s="45"/>
      <c r="N157" s="45"/>
      <c r="O157" s="45"/>
      <c r="P157" s="45"/>
      <c r="Q157" s="45"/>
    </row>
    <row r="158" spans="1:17" ht="30" customHeight="1" x14ac:dyDescent="0.3">
      <c r="A158" s="4"/>
      <c r="B158" s="9" t="s">
        <v>24</v>
      </c>
      <c r="D158" s="54"/>
      <c r="E158" s="54"/>
      <c r="F158" s="54"/>
      <c r="G158" s="54"/>
      <c r="H158" s="45"/>
      <c r="I158" s="45"/>
      <c r="J158" s="45"/>
      <c r="K158" s="45"/>
      <c r="L158" s="45"/>
      <c r="M158" s="45"/>
      <c r="N158" s="45"/>
      <c r="O158" s="45"/>
      <c r="P158" s="45"/>
      <c r="Q158" s="45"/>
    </row>
    <row r="159" spans="1:17" ht="30" customHeight="1" x14ac:dyDescent="0.3">
      <c r="A159" s="4"/>
      <c r="B159" s="9" t="s">
        <v>25</v>
      </c>
      <c r="D159" s="54"/>
      <c r="E159" s="54"/>
      <c r="F159" s="54"/>
      <c r="G159" s="54"/>
      <c r="H159" s="45"/>
      <c r="I159" s="45"/>
      <c r="J159" s="45"/>
      <c r="K159" s="45"/>
      <c r="L159" s="45"/>
      <c r="M159" s="45"/>
      <c r="N159" s="45"/>
      <c r="O159" s="45"/>
      <c r="P159" s="45"/>
      <c r="Q159" s="45"/>
    </row>
    <row r="160" spans="1:17" ht="30" customHeight="1" x14ac:dyDescent="0.3">
      <c r="A160" s="4"/>
      <c r="B160" s="9" t="s">
        <v>26</v>
      </c>
      <c r="D160" s="54"/>
      <c r="E160" s="54"/>
      <c r="F160" s="54"/>
      <c r="G160" s="54"/>
      <c r="H160" s="45"/>
      <c r="I160" s="45"/>
      <c r="J160" s="45"/>
      <c r="K160" s="45"/>
      <c r="L160" s="45"/>
      <c r="M160" s="45"/>
      <c r="N160" s="45"/>
      <c r="O160" s="45"/>
      <c r="P160" s="45"/>
      <c r="Q160" s="45"/>
    </row>
    <row r="161" spans="1:17" ht="30" customHeight="1" x14ac:dyDescent="0.3">
      <c r="A161" s="4"/>
      <c r="B161" s="9" t="s">
        <v>27</v>
      </c>
      <c r="D161" s="54"/>
      <c r="E161" s="54"/>
      <c r="F161" s="54"/>
      <c r="G161" s="54"/>
      <c r="H161" s="45"/>
      <c r="I161" s="45"/>
      <c r="J161" s="45"/>
      <c r="K161" s="45"/>
      <c r="L161" s="45"/>
      <c r="M161" s="45"/>
      <c r="N161" s="45"/>
      <c r="O161" s="45"/>
      <c r="P161" s="45"/>
      <c r="Q161" s="45"/>
    </row>
    <row r="162" spans="1:17" ht="30" customHeight="1" x14ac:dyDescent="0.3">
      <c r="A162" s="4"/>
      <c r="B162" s="9" t="s">
        <v>28</v>
      </c>
      <c r="D162" s="54"/>
      <c r="E162" s="54"/>
      <c r="F162" s="54"/>
      <c r="G162" s="54"/>
      <c r="H162" s="45"/>
      <c r="I162" s="45"/>
      <c r="J162" s="45"/>
      <c r="K162" s="45"/>
      <c r="L162" s="45"/>
      <c r="M162" s="45"/>
      <c r="N162" s="45"/>
      <c r="O162" s="45"/>
      <c r="P162" s="45"/>
      <c r="Q162" s="45"/>
    </row>
    <row r="163" spans="1:17" ht="30" customHeight="1" x14ac:dyDescent="0.3">
      <c r="A163" s="4"/>
      <c r="B163" s="9" t="s">
        <v>29</v>
      </c>
      <c r="D163" s="54"/>
      <c r="E163" s="54"/>
      <c r="F163" s="54"/>
      <c r="G163" s="54"/>
      <c r="H163" s="45"/>
      <c r="I163" s="45"/>
      <c r="J163" s="45"/>
      <c r="K163" s="45"/>
      <c r="L163" s="45"/>
      <c r="M163" s="45"/>
      <c r="N163" s="45"/>
      <c r="O163" s="45"/>
      <c r="P163" s="45"/>
      <c r="Q163" s="45"/>
    </row>
    <row r="164" spans="1:17" ht="30" customHeight="1" x14ac:dyDescent="0.3">
      <c r="A164" s="4"/>
      <c r="B164" s="9" t="s">
        <v>30</v>
      </c>
      <c r="D164" s="45"/>
      <c r="E164" s="45"/>
      <c r="F164" s="45"/>
      <c r="G164" s="45"/>
      <c r="H164" s="45"/>
      <c r="I164" s="45"/>
      <c r="J164" s="45"/>
      <c r="K164" s="45"/>
      <c r="L164" s="45"/>
      <c r="M164" s="45"/>
      <c r="N164" s="45"/>
      <c r="O164" s="45"/>
      <c r="P164" s="45"/>
      <c r="Q164" s="45"/>
    </row>
    <row r="165" spans="1:17" ht="30" customHeight="1" x14ac:dyDescent="0.3">
      <c r="A165" s="4"/>
      <c r="B165" s="9" t="s">
        <v>31</v>
      </c>
      <c r="D165" s="45"/>
      <c r="E165" s="45"/>
      <c r="F165" s="45"/>
      <c r="G165" s="45"/>
      <c r="H165" s="45"/>
      <c r="I165" s="45"/>
      <c r="J165" s="45"/>
      <c r="K165" s="45"/>
      <c r="L165" s="45"/>
      <c r="M165" s="45"/>
      <c r="N165" s="45"/>
      <c r="O165" s="45"/>
      <c r="P165" s="45"/>
      <c r="Q165" s="45"/>
    </row>
    <row r="166" spans="1:17" ht="30" customHeight="1" x14ac:dyDescent="0.3">
      <c r="A166" s="4"/>
      <c r="B166" s="9" t="s">
        <v>32</v>
      </c>
      <c r="D166" s="45"/>
      <c r="E166" s="45"/>
      <c r="F166" s="45"/>
      <c r="G166" s="45"/>
      <c r="H166" s="45"/>
      <c r="I166" s="45"/>
      <c r="J166" s="45"/>
      <c r="K166" s="45"/>
      <c r="L166" s="45"/>
      <c r="M166" s="45"/>
      <c r="N166" s="45"/>
      <c r="O166" s="45"/>
      <c r="P166" s="45"/>
      <c r="Q166" s="45"/>
    </row>
    <row r="167" spans="1:17" ht="30" customHeight="1" x14ac:dyDescent="0.3">
      <c r="A167" s="4"/>
      <c r="B167" s="9" t="s">
        <v>33</v>
      </c>
      <c r="D167" s="45"/>
      <c r="E167" s="45"/>
      <c r="F167" s="45"/>
      <c r="G167" s="45"/>
      <c r="H167" s="45"/>
      <c r="I167" s="45"/>
      <c r="J167" s="45"/>
      <c r="K167" s="45"/>
      <c r="L167" s="45"/>
      <c r="M167" s="45"/>
      <c r="N167" s="45"/>
      <c r="O167" s="45"/>
      <c r="P167" s="45"/>
      <c r="Q167" s="45"/>
    </row>
    <row r="168" spans="1:17" ht="30" customHeight="1" x14ac:dyDescent="0.3">
      <c r="A168" s="4"/>
      <c r="B168" s="9" t="s">
        <v>34</v>
      </c>
      <c r="D168" s="45"/>
      <c r="E168" s="45"/>
      <c r="F168" s="45"/>
      <c r="G168" s="45"/>
      <c r="H168" s="45"/>
      <c r="I168" s="45"/>
      <c r="J168" s="45"/>
      <c r="K168" s="45"/>
      <c r="L168" s="45"/>
      <c r="M168" s="45"/>
      <c r="N168" s="45"/>
      <c r="O168" s="45"/>
      <c r="P168" s="45"/>
      <c r="Q168" s="45"/>
    </row>
    <row r="169" spans="1:17" ht="30" customHeight="1" x14ac:dyDescent="0.3">
      <c r="A169" s="4"/>
      <c r="B169" s="9" t="s">
        <v>35</v>
      </c>
      <c r="D169" s="45"/>
      <c r="E169" s="45"/>
      <c r="F169" s="45"/>
      <c r="G169" s="45"/>
      <c r="H169" s="45"/>
      <c r="I169" s="45"/>
      <c r="J169" s="45"/>
      <c r="K169" s="45"/>
      <c r="L169" s="45"/>
      <c r="M169" s="45"/>
      <c r="N169" s="45"/>
      <c r="O169" s="45"/>
      <c r="P169" s="45"/>
      <c r="Q169" s="45"/>
    </row>
    <row r="170" spans="1:17" ht="30" customHeight="1" x14ac:dyDescent="0.3">
      <c r="A170" s="4"/>
      <c r="B170" s="9" t="s">
        <v>36</v>
      </c>
      <c r="D170" s="45"/>
      <c r="E170" s="45"/>
      <c r="F170" s="45"/>
      <c r="G170" s="45"/>
      <c r="H170" s="45"/>
      <c r="I170" s="45"/>
      <c r="J170" s="45"/>
      <c r="K170" s="45"/>
      <c r="L170" s="45"/>
      <c r="M170" s="45"/>
      <c r="N170" s="45"/>
      <c r="O170" s="45"/>
      <c r="P170" s="45"/>
      <c r="Q170" s="45"/>
    </row>
    <row r="171" spans="1:17" ht="30" customHeight="1" x14ac:dyDescent="0.3">
      <c r="A171" s="4"/>
      <c r="B171" s="9" t="s">
        <v>37</v>
      </c>
      <c r="D171" s="45"/>
      <c r="E171" s="45"/>
      <c r="F171" s="45"/>
      <c r="G171" s="45"/>
      <c r="H171" s="45"/>
      <c r="I171" s="45"/>
      <c r="J171" s="45"/>
      <c r="K171" s="45"/>
      <c r="L171" s="45"/>
      <c r="M171" s="45"/>
      <c r="N171" s="45"/>
      <c r="O171" s="45"/>
      <c r="P171" s="45"/>
      <c r="Q171" s="45"/>
    </row>
    <row r="172" spans="1:17" ht="30" customHeight="1" x14ac:dyDescent="0.3">
      <c r="A172" s="4"/>
      <c r="B172" s="9" t="s">
        <v>38</v>
      </c>
      <c r="D172" s="45"/>
      <c r="E172" s="45"/>
      <c r="F172" s="45"/>
      <c r="G172" s="45"/>
      <c r="H172" s="45"/>
      <c r="I172" s="45"/>
      <c r="J172" s="45"/>
      <c r="K172" s="45"/>
      <c r="L172" s="45"/>
      <c r="M172" s="45"/>
      <c r="N172" s="45"/>
      <c r="O172" s="45"/>
      <c r="P172" s="45"/>
      <c r="Q172" s="45"/>
    </row>
    <row r="173" spans="1:17" ht="30" customHeight="1" x14ac:dyDescent="0.3">
      <c r="A173" s="4"/>
      <c r="B173" s="9" t="s">
        <v>39</v>
      </c>
      <c r="D173" s="45"/>
      <c r="E173" s="45"/>
      <c r="F173" s="45"/>
      <c r="G173" s="45"/>
      <c r="H173" s="45"/>
      <c r="I173" s="45"/>
      <c r="J173" s="45"/>
      <c r="K173" s="45"/>
      <c r="L173" s="45"/>
      <c r="M173" s="45"/>
      <c r="N173" s="45"/>
      <c r="O173" s="45"/>
      <c r="P173" s="45"/>
      <c r="Q173" s="45"/>
    </row>
    <row r="174" spans="1:17" ht="30" customHeight="1" x14ac:dyDescent="0.3">
      <c r="A174" s="4"/>
      <c r="B174" s="9" t="s">
        <v>40</v>
      </c>
      <c r="D174" s="45"/>
      <c r="E174" s="45"/>
      <c r="F174" s="45"/>
      <c r="G174" s="45"/>
      <c r="H174" s="45"/>
      <c r="I174" s="45"/>
      <c r="J174" s="45"/>
      <c r="K174" s="45"/>
      <c r="L174" s="45"/>
      <c r="M174" s="45"/>
      <c r="N174" s="45"/>
      <c r="O174" s="45"/>
      <c r="P174" s="45"/>
      <c r="Q174" s="45"/>
    </row>
    <row r="175" spans="1:17" ht="30" customHeight="1" x14ac:dyDescent="0.3">
      <c r="A175" s="4"/>
      <c r="B175" s="9" t="s">
        <v>41</v>
      </c>
      <c r="D175" s="45"/>
      <c r="E175" s="45"/>
      <c r="F175" s="45"/>
      <c r="G175" s="45"/>
      <c r="H175" s="45"/>
      <c r="I175" s="45"/>
      <c r="J175" s="45"/>
      <c r="K175" s="45"/>
      <c r="L175" s="45"/>
      <c r="M175" s="45"/>
      <c r="N175" s="45"/>
      <c r="O175" s="45"/>
      <c r="P175" s="45"/>
      <c r="Q175" s="45"/>
    </row>
    <row r="176" spans="1:17" ht="30" customHeight="1" x14ac:dyDescent="0.3">
      <c r="A176" s="4"/>
      <c r="B176" s="9" t="s">
        <v>42</v>
      </c>
      <c r="D176" s="45"/>
      <c r="E176" s="45"/>
      <c r="F176" s="45"/>
      <c r="G176" s="45"/>
      <c r="H176" s="45"/>
      <c r="I176" s="45"/>
      <c r="J176" s="45"/>
      <c r="K176" s="45"/>
      <c r="L176" s="45"/>
      <c r="M176" s="45"/>
      <c r="N176" s="45"/>
      <c r="O176" s="45"/>
      <c r="P176" s="45"/>
      <c r="Q176" s="45"/>
    </row>
    <row r="177" spans="1:17" ht="30" customHeight="1" x14ac:dyDescent="0.3">
      <c r="A177" s="4"/>
      <c r="B177" s="131" t="s">
        <v>143</v>
      </c>
      <c r="D177" s="45"/>
      <c r="E177" s="45"/>
      <c r="F177" s="45"/>
      <c r="G177" s="45"/>
      <c r="H177" s="45"/>
      <c r="I177" s="45"/>
      <c r="J177" s="45"/>
      <c r="K177" s="45"/>
      <c r="L177" s="45"/>
      <c r="M177" s="45"/>
      <c r="N177" s="45"/>
      <c r="O177" s="45"/>
      <c r="P177" s="45"/>
      <c r="Q177" s="45"/>
    </row>
    <row r="178" spans="1:17" ht="30" customHeight="1" x14ac:dyDescent="0.3">
      <c r="A178" s="4"/>
      <c r="B178" s="9" t="s">
        <v>44</v>
      </c>
      <c r="D178" s="45"/>
      <c r="E178" s="45"/>
      <c r="F178" s="45"/>
      <c r="G178" s="45"/>
      <c r="H178" s="45"/>
      <c r="I178" s="45"/>
      <c r="J178" s="45"/>
      <c r="K178" s="45"/>
      <c r="L178" s="45"/>
      <c r="M178" s="45"/>
      <c r="N178" s="45"/>
      <c r="O178" s="45"/>
      <c r="P178" s="45"/>
      <c r="Q178" s="45"/>
    </row>
    <row r="179" spans="1:17" ht="30" customHeight="1" x14ac:dyDescent="0.3">
      <c r="A179" s="4"/>
      <c r="B179" s="9" t="s">
        <v>144</v>
      </c>
      <c r="D179" s="45"/>
      <c r="E179" s="45"/>
      <c r="F179" s="45"/>
      <c r="G179" s="45"/>
      <c r="H179" s="45"/>
      <c r="I179" s="45"/>
      <c r="J179" s="45"/>
      <c r="K179" s="45"/>
      <c r="L179" s="45"/>
      <c r="M179" s="45"/>
      <c r="N179" s="45"/>
      <c r="O179" s="45"/>
      <c r="P179" s="45"/>
      <c r="Q179" s="45"/>
    </row>
    <row r="180" spans="1:17" ht="30" customHeight="1" x14ac:dyDescent="0.3">
      <c r="A180" s="4"/>
      <c r="B180" s="9" t="s">
        <v>45</v>
      </c>
      <c r="D180" s="45"/>
      <c r="E180" s="45"/>
      <c r="F180" s="45"/>
      <c r="G180" s="45"/>
      <c r="H180" s="45"/>
      <c r="I180" s="45"/>
      <c r="J180" s="45"/>
      <c r="K180" s="45"/>
      <c r="L180" s="45"/>
      <c r="M180" s="45"/>
      <c r="N180" s="45"/>
      <c r="O180" s="45"/>
      <c r="P180" s="45"/>
      <c r="Q180" s="45"/>
    </row>
    <row r="181" spans="1:17" ht="30" customHeight="1" x14ac:dyDescent="0.3">
      <c r="A181" s="4"/>
      <c r="B181" s="9" t="s">
        <v>46</v>
      </c>
      <c r="D181" s="45"/>
      <c r="E181" s="45"/>
      <c r="F181" s="45"/>
      <c r="G181" s="45"/>
      <c r="H181" s="45"/>
      <c r="I181" s="45"/>
      <c r="J181" s="45"/>
      <c r="K181" s="45"/>
      <c r="L181" s="45"/>
      <c r="M181" s="45"/>
      <c r="N181" s="45"/>
      <c r="O181" s="45"/>
      <c r="P181" s="45"/>
      <c r="Q181" s="45"/>
    </row>
    <row r="182" spans="1:17" ht="30" customHeight="1" x14ac:dyDescent="0.3">
      <c r="B182" s="9" t="s">
        <v>43</v>
      </c>
      <c r="D182" s="45"/>
      <c r="E182" s="45"/>
      <c r="F182" s="45"/>
      <c r="G182" s="45"/>
      <c r="H182" s="45"/>
      <c r="I182" s="45"/>
      <c r="J182" s="45"/>
      <c r="K182" s="45"/>
      <c r="L182" s="45"/>
      <c r="M182" s="45"/>
      <c r="N182" s="45"/>
      <c r="O182" s="45"/>
      <c r="P182" s="45"/>
      <c r="Q182" s="45"/>
    </row>
    <row r="183" spans="1:17" ht="30" customHeight="1" x14ac:dyDescent="0.3">
      <c r="D183" s="45"/>
      <c r="E183" s="45"/>
      <c r="F183" s="45"/>
      <c r="G183" s="45"/>
      <c r="H183" s="45"/>
      <c r="I183" s="45"/>
      <c r="J183" s="45"/>
      <c r="K183" s="45"/>
      <c r="L183" s="45"/>
      <c r="M183" s="45"/>
      <c r="N183" s="45"/>
      <c r="O183" s="45"/>
      <c r="P183" s="45"/>
      <c r="Q183" s="45"/>
    </row>
  </sheetData>
  <sheetProtection algorithmName="SHA-512" hashValue="5PoIfWOTn69az92gMGju5cFv4HfIxuo7+DXWAxe7o2rN27fx09/aa00ANEA6CKo5kr5Km+TEwzx4G4OjlLDy0g==" saltValue="JwiUpzdCv3ePiUTOgq4HHQ==" spinCount="100000" sheet="1" selectLockedCells="1"/>
  <mergeCells count="108">
    <mergeCell ref="F142:G144"/>
    <mergeCell ref="D146:E147"/>
    <mergeCell ref="D117:E119"/>
    <mergeCell ref="F117:G119"/>
    <mergeCell ref="D121:E130"/>
    <mergeCell ref="F146:G146"/>
    <mergeCell ref="D140:E140"/>
    <mergeCell ref="F140:G140"/>
    <mergeCell ref="D142:E144"/>
    <mergeCell ref="F121:G130"/>
    <mergeCell ref="D57:E76"/>
    <mergeCell ref="F57:G76"/>
    <mergeCell ref="D78:E85"/>
    <mergeCell ref="F78:G85"/>
    <mergeCell ref="D88:E97"/>
    <mergeCell ref="A138:B138"/>
    <mergeCell ref="A90:B90"/>
    <mergeCell ref="A95:B95"/>
    <mergeCell ref="A96:B96"/>
    <mergeCell ref="A74:B74"/>
    <mergeCell ref="D132:E138"/>
    <mergeCell ref="D102:E108"/>
    <mergeCell ref="D111:E115"/>
    <mergeCell ref="F111:G115"/>
    <mergeCell ref="F132:G136"/>
    <mergeCell ref="F138:G138"/>
    <mergeCell ref="D98:E98"/>
    <mergeCell ref="F98:G98"/>
    <mergeCell ref="D100:E100"/>
    <mergeCell ref="F100:G100"/>
    <mergeCell ref="F88:G97"/>
    <mergeCell ref="F102:G108"/>
    <mergeCell ref="A48:B48"/>
    <mergeCell ref="A3:B3"/>
    <mergeCell ref="A32:B32"/>
    <mergeCell ref="A143:B143"/>
    <mergeCell ref="A139:B139"/>
    <mergeCell ref="A131:B131"/>
    <mergeCell ref="A111:B111"/>
    <mergeCell ref="A117:B117"/>
    <mergeCell ref="A121:B121"/>
    <mergeCell ref="A137:B137"/>
    <mergeCell ref="A106:B106"/>
    <mergeCell ref="A76:B76"/>
    <mergeCell ref="A77:B77"/>
    <mergeCell ref="A130:B130"/>
    <mergeCell ref="A146:B146"/>
    <mergeCell ref="A147:B147"/>
    <mergeCell ref="A107:B107"/>
    <mergeCell ref="A128:B128"/>
    <mergeCell ref="A129:B129"/>
    <mergeCell ref="A136:B136"/>
    <mergeCell ref="A144:B144"/>
    <mergeCell ref="A145:B145"/>
    <mergeCell ref="A109:B109"/>
    <mergeCell ref="A142:B142"/>
    <mergeCell ref="A1:B1"/>
    <mergeCell ref="A10:B10"/>
    <mergeCell ref="A28:B28"/>
    <mergeCell ref="A97:B97"/>
    <mergeCell ref="A108:B108"/>
    <mergeCell ref="A94:B94"/>
    <mergeCell ref="A36:B36"/>
    <mergeCell ref="A26:B26"/>
    <mergeCell ref="A27:B27"/>
    <mergeCell ref="A78:B78"/>
    <mergeCell ref="A33:B33"/>
    <mergeCell ref="A34:B34"/>
    <mergeCell ref="A50:B50"/>
    <mergeCell ref="A51:B51"/>
    <mergeCell ref="A52:B52"/>
    <mergeCell ref="A54:B54"/>
    <mergeCell ref="A49:B49"/>
    <mergeCell ref="A11:B11"/>
    <mergeCell ref="A2:B2"/>
    <mergeCell ref="A4:B4"/>
    <mergeCell ref="A29:B29"/>
    <mergeCell ref="A98:B98"/>
    <mergeCell ref="A89:B89"/>
    <mergeCell ref="A75:B75"/>
    <mergeCell ref="F23:G28"/>
    <mergeCell ref="D2:E2"/>
    <mergeCell ref="F2:G2"/>
    <mergeCell ref="D4:E10"/>
    <mergeCell ref="F4:G10"/>
    <mergeCell ref="D11:E11"/>
    <mergeCell ref="F11:G11"/>
    <mergeCell ref="D13:E14"/>
    <mergeCell ref="F13:G14"/>
    <mergeCell ref="D17:E21"/>
    <mergeCell ref="F17:G21"/>
    <mergeCell ref="D23:E28"/>
    <mergeCell ref="D33:E33"/>
    <mergeCell ref="F33:G33"/>
    <mergeCell ref="D31:E32"/>
    <mergeCell ref="F31:G32"/>
    <mergeCell ref="D29:E29"/>
    <mergeCell ref="F29:G29"/>
    <mergeCell ref="F54:G55"/>
    <mergeCell ref="D34:E34"/>
    <mergeCell ref="F34:G34"/>
    <mergeCell ref="D36:E50"/>
    <mergeCell ref="F36:G50"/>
    <mergeCell ref="F51:G51"/>
    <mergeCell ref="D52:E52"/>
    <mergeCell ref="F52:G52"/>
    <mergeCell ref="D51:E51"/>
    <mergeCell ref="D54:E55"/>
  </mergeCells>
  <conditionalFormatting sqref="B53">
    <cfRule type="expression" dxfId="143" priority="436" stopIfTrue="1">
      <formula>$B$53=""</formula>
    </cfRule>
  </conditionalFormatting>
  <conditionalFormatting sqref="B79">
    <cfRule type="expression" dxfId="142" priority="434" stopIfTrue="1">
      <formula>$B79=""</formula>
    </cfRule>
  </conditionalFormatting>
  <conditionalFormatting sqref="B99">
    <cfRule type="expression" dxfId="141" priority="433" stopIfTrue="1">
      <formula>$B99=""</formula>
    </cfRule>
  </conditionalFormatting>
  <conditionalFormatting sqref="B20">
    <cfRule type="expression" dxfId="140" priority="384" stopIfTrue="1">
      <formula>$B20=""</formula>
    </cfRule>
  </conditionalFormatting>
  <conditionalFormatting sqref="B21">
    <cfRule type="expression" dxfId="139" priority="383" stopIfTrue="1">
      <formula>$B21=""</formula>
    </cfRule>
  </conditionalFormatting>
  <conditionalFormatting sqref="B22">
    <cfRule type="expression" dxfId="138" priority="381" stopIfTrue="1">
      <formula>$B22=""</formula>
    </cfRule>
  </conditionalFormatting>
  <conditionalFormatting sqref="A27:B27">
    <cfRule type="expression" dxfId="137" priority="380" stopIfTrue="1">
      <formula>($A$27="")</formula>
    </cfRule>
  </conditionalFormatting>
  <conditionalFormatting sqref="B46">
    <cfRule type="expression" priority="335" stopIfTrue="1">
      <formula>AND($A46&lt;&gt;"",$B46&lt;&gt;"")</formula>
    </cfRule>
    <cfRule type="expression" dxfId="136" priority="336" stopIfTrue="1">
      <formula>AND($A46&lt;&gt;"",$B46="")</formula>
    </cfRule>
    <cfRule type="expression" dxfId="135" priority="337" stopIfTrue="1">
      <formula>AND($A46="",$B46&lt;&gt;"")</formula>
    </cfRule>
  </conditionalFormatting>
  <conditionalFormatting sqref="B100">
    <cfRule type="expression" priority="319" stopIfTrue="1">
      <formula>AND($A100&lt;&gt;"",$B100&lt;&gt;"")</formula>
    </cfRule>
    <cfRule type="expression" dxfId="134" priority="320" stopIfTrue="1">
      <formula>AND($A100&lt;&gt;"",$B100="")</formula>
    </cfRule>
    <cfRule type="expression" dxfId="133" priority="321" stopIfTrue="1">
      <formula>AND($A100="",$B100&lt;&gt;"")</formula>
    </cfRule>
  </conditionalFormatting>
  <conditionalFormatting sqref="B101">
    <cfRule type="expression" priority="316" stopIfTrue="1">
      <formula>AND($A101&lt;&gt;"",$B101&lt;&gt;"")</formula>
    </cfRule>
    <cfRule type="expression" dxfId="132" priority="317" stopIfTrue="1">
      <formula>AND($A101&lt;&gt;"",$B101="")</formula>
    </cfRule>
    <cfRule type="expression" dxfId="131" priority="318" stopIfTrue="1">
      <formula>AND($A101="",$B101&lt;&gt;"")</formula>
    </cfRule>
  </conditionalFormatting>
  <conditionalFormatting sqref="A107:B107">
    <cfRule type="expression" dxfId="130" priority="315" stopIfTrue="1">
      <formula>($A107="")</formula>
    </cfRule>
  </conditionalFormatting>
  <conditionalFormatting sqref="B110">
    <cfRule type="expression" priority="312" stopIfTrue="1">
      <formula>AND($A110&lt;&gt;"",$B110&lt;&gt;"")</formula>
    </cfRule>
    <cfRule type="expression" dxfId="129" priority="313" stopIfTrue="1">
      <formula>AND($A110&lt;&gt;"",$B110="")</formula>
    </cfRule>
    <cfRule type="expression" dxfId="128" priority="314" stopIfTrue="1">
      <formula>AND($A110="",$B110&lt;&gt;"")</formula>
    </cfRule>
  </conditionalFormatting>
  <conditionalFormatting sqref="B112">
    <cfRule type="expression" priority="309" stopIfTrue="1">
      <formula>AND($A112&lt;&gt;"",$B112&lt;&gt;"")</formula>
    </cfRule>
    <cfRule type="expression" dxfId="127" priority="310" stopIfTrue="1">
      <formula>AND($A112&lt;&gt;"",$B112="")</formula>
    </cfRule>
    <cfRule type="expression" dxfId="126" priority="311" stopIfTrue="1">
      <formula>AND($A112="",$B112&lt;&gt;"")</formula>
    </cfRule>
  </conditionalFormatting>
  <conditionalFormatting sqref="B113">
    <cfRule type="expression" priority="306" stopIfTrue="1">
      <formula>AND($A113&lt;&gt;"",$B113&lt;&gt;"")</formula>
    </cfRule>
    <cfRule type="expression" dxfId="125" priority="307" stopIfTrue="1">
      <formula>AND($A113&lt;&gt;"",$B113="")</formula>
    </cfRule>
    <cfRule type="expression" dxfId="124" priority="308" stopIfTrue="1">
      <formula>AND($A113="",$B113&lt;&gt;"")</formula>
    </cfRule>
  </conditionalFormatting>
  <conditionalFormatting sqref="B114">
    <cfRule type="expression" priority="303" stopIfTrue="1">
      <formula>AND($A114&lt;&gt;"",$B114&lt;&gt;"")</formula>
    </cfRule>
    <cfRule type="expression" dxfId="123" priority="304" stopIfTrue="1">
      <formula>AND($A114&lt;&gt;"",$B114="")</formula>
    </cfRule>
    <cfRule type="expression" dxfId="122" priority="305" stopIfTrue="1">
      <formula>AND($A114="",$B114&lt;&gt;"")</formula>
    </cfRule>
  </conditionalFormatting>
  <conditionalFormatting sqref="B115">
    <cfRule type="expression" priority="300" stopIfTrue="1">
      <formula>AND($A115&lt;&gt;"",$B115&lt;&gt;"")</formula>
    </cfRule>
    <cfRule type="expression" dxfId="121" priority="301" stopIfTrue="1">
      <formula>AND($A115&lt;&gt;"",$B115="")</formula>
    </cfRule>
    <cfRule type="expression" dxfId="120" priority="302" stopIfTrue="1">
      <formula>AND($A115="",$B115&lt;&gt;"")</formula>
    </cfRule>
  </conditionalFormatting>
  <conditionalFormatting sqref="B116">
    <cfRule type="expression" priority="297" stopIfTrue="1">
      <formula>AND($A116&lt;&gt;"",$B116&lt;&gt;"")</formula>
    </cfRule>
    <cfRule type="expression" dxfId="119" priority="298" stopIfTrue="1">
      <formula>AND($A116&lt;&gt;"",$B116="")</formula>
    </cfRule>
    <cfRule type="expression" dxfId="118" priority="299" stopIfTrue="1">
      <formula>AND($A116="",$B116&lt;&gt;"")</formula>
    </cfRule>
  </conditionalFormatting>
  <conditionalFormatting sqref="B118">
    <cfRule type="expression" priority="294" stopIfTrue="1">
      <formula>AND($A118&lt;&gt;"",$B118&lt;&gt;"")</formula>
    </cfRule>
    <cfRule type="expression" dxfId="117" priority="295" stopIfTrue="1">
      <formula>AND($A118&lt;&gt;"",$B118="")</formula>
    </cfRule>
    <cfRule type="expression" dxfId="116" priority="296" stopIfTrue="1">
      <formula>AND($A118="",$B118&lt;&gt;"")</formula>
    </cfRule>
  </conditionalFormatting>
  <conditionalFormatting sqref="B119">
    <cfRule type="expression" priority="288" stopIfTrue="1">
      <formula>AND($A119&lt;&gt;"",$B119&lt;&gt;"")</formula>
    </cfRule>
    <cfRule type="expression" dxfId="115" priority="289" stopIfTrue="1">
      <formula>AND($A119&lt;&gt;"",$B119="")</formula>
    </cfRule>
    <cfRule type="expression" dxfId="114" priority="290" stopIfTrue="1">
      <formula>AND($A119="",$B119&lt;&gt;"")</formula>
    </cfRule>
  </conditionalFormatting>
  <conditionalFormatting sqref="B120">
    <cfRule type="expression" priority="285" stopIfTrue="1">
      <formula>AND($A120&lt;&gt;"",$B120&lt;&gt;"")</formula>
    </cfRule>
    <cfRule type="expression" dxfId="113" priority="286" stopIfTrue="1">
      <formula>AND($A120&lt;&gt;"",$B120="")</formula>
    </cfRule>
    <cfRule type="expression" dxfId="112" priority="287" stopIfTrue="1">
      <formula>AND($A120="",$B120&lt;&gt;"")</formula>
    </cfRule>
  </conditionalFormatting>
  <conditionalFormatting sqref="B122">
    <cfRule type="expression" priority="282" stopIfTrue="1">
      <formula>AND($A122&lt;&gt;"",$B122&lt;&gt;"")</formula>
    </cfRule>
    <cfRule type="expression" dxfId="111" priority="283" stopIfTrue="1">
      <formula>AND($A122&lt;&gt;"",$B122="")</formula>
    </cfRule>
    <cfRule type="expression" dxfId="110" priority="284" stopIfTrue="1">
      <formula>AND($A122="",$B122&lt;&gt;"")</formula>
    </cfRule>
  </conditionalFormatting>
  <conditionalFormatting sqref="B123">
    <cfRule type="expression" priority="279" stopIfTrue="1">
      <formula>AND($A123&lt;&gt;"",$B123&lt;&gt;"")</formula>
    </cfRule>
    <cfRule type="expression" dxfId="109" priority="280" stopIfTrue="1">
      <formula>AND($A123&lt;&gt;"",$B123="")</formula>
    </cfRule>
    <cfRule type="expression" dxfId="108" priority="281" stopIfTrue="1">
      <formula>AND($A123="",$B123&lt;&gt;"")</formula>
    </cfRule>
  </conditionalFormatting>
  <conditionalFormatting sqref="B124">
    <cfRule type="expression" priority="276" stopIfTrue="1">
      <formula>AND($A124&lt;&gt;"",$B124&lt;&gt;"")</formula>
    </cfRule>
    <cfRule type="expression" dxfId="107" priority="277" stopIfTrue="1">
      <formula>AND($A124&lt;&gt;"",$B124="")</formula>
    </cfRule>
    <cfRule type="expression" dxfId="106" priority="278" stopIfTrue="1">
      <formula>AND($A124="",$B124&lt;&gt;"")</formula>
    </cfRule>
  </conditionalFormatting>
  <conditionalFormatting sqref="B125">
    <cfRule type="expression" priority="273" stopIfTrue="1">
      <formula>AND($A125&lt;&gt;"",$B125&lt;&gt;"")</formula>
    </cfRule>
    <cfRule type="expression" dxfId="105" priority="274" stopIfTrue="1">
      <formula>AND($A125&lt;&gt;"",$B125="")</formula>
    </cfRule>
    <cfRule type="expression" dxfId="104" priority="275" stopIfTrue="1">
      <formula>AND($A125="",$B125&lt;&gt;"")</formula>
    </cfRule>
  </conditionalFormatting>
  <conditionalFormatting sqref="B126:B127">
    <cfRule type="expression" priority="270" stopIfTrue="1">
      <formula>AND($A126&lt;&gt;"",$B126&lt;&gt;"")</formula>
    </cfRule>
    <cfRule type="expression" dxfId="103" priority="271" stopIfTrue="1">
      <formula>AND($A126&lt;&gt;"",$B126="")</formula>
    </cfRule>
    <cfRule type="expression" dxfId="102" priority="272" stopIfTrue="1">
      <formula>AND($A126="",$B126&lt;&gt;"")</formula>
    </cfRule>
  </conditionalFormatting>
  <conditionalFormatting sqref="A129:B129">
    <cfRule type="expression" dxfId="101" priority="269" stopIfTrue="1">
      <formula>($A129="")</formula>
    </cfRule>
  </conditionalFormatting>
  <conditionalFormatting sqref="A137:B137">
    <cfRule type="expression" dxfId="100" priority="268" stopIfTrue="1">
      <formula>($A137="")</formula>
    </cfRule>
  </conditionalFormatting>
  <conditionalFormatting sqref="B132">
    <cfRule type="expression" priority="265" stopIfTrue="1">
      <formula>AND($A132&lt;&gt;"",$B132&lt;&gt;"")</formula>
    </cfRule>
    <cfRule type="expression" dxfId="99" priority="266" stopIfTrue="1">
      <formula>AND($A132&lt;&gt;"",$B132="")</formula>
    </cfRule>
    <cfRule type="expression" dxfId="98" priority="267" stopIfTrue="1">
      <formula>AND($A132="",$B132&lt;&gt;"")</formula>
    </cfRule>
  </conditionalFormatting>
  <conditionalFormatting sqref="B133 B135">
    <cfRule type="expression" priority="262" stopIfTrue="1">
      <formula>AND($A133&lt;&gt;"",$B133&lt;&gt;"")</formula>
    </cfRule>
    <cfRule type="expression" dxfId="97" priority="263" stopIfTrue="1">
      <formula>AND($A133&lt;&gt;"",$B133="")</formula>
    </cfRule>
    <cfRule type="expression" dxfId="96" priority="264" stopIfTrue="1">
      <formula>AND($A133="",$B133&lt;&gt;"")</formula>
    </cfRule>
  </conditionalFormatting>
  <conditionalFormatting sqref="B140">
    <cfRule type="expression" priority="256" stopIfTrue="1">
      <formula>AND($A140&lt;&gt;"",$B140&lt;&gt;"")</formula>
    </cfRule>
    <cfRule type="expression" dxfId="95" priority="257" stopIfTrue="1">
      <formula>AND($A140&lt;&gt;"",$B140="")</formula>
    </cfRule>
    <cfRule type="expression" dxfId="94" priority="258" stopIfTrue="1">
      <formula>AND($A140="",$B140&lt;&gt;"")</formula>
    </cfRule>
  </conditionalFormatting>
  <conditionalFormatting sqref="B141">
    <cfRule type="expression" priority="253" stopIfTrue="1">
      <formula>AND($A141&lt;&gt;"",$B141&lt;&gt;"")</formula>
    </cfRule>
    <cfRule type="expression" dxfId="93" priority="254" stopIfTrue="1">
      <formula>AND($A141&lt;&gt;"",$B141="")</formula>
    </cfRule>
    <cfRule type="expression" dxfId="92" priority="255" stopIfTrue="1">
      <formula>AND($A141="",$B141&lt;&gt;"")</formula>
    </cfRule>
  </conditionalFormatting>
  <conditionalFormatting sqref="A147:B147">
    <cfRule type="expression" dxfId="91" priority="252" stopIfTrue="1">
      <formula>($A147="")</formula>
    </cfRule>
  </conditionalFormatting>
  <conditionalFormatting sqref="B5">
    <cfRule type="expression" priority="249" stopIfTrue="1">
      <formula>AND($A5&lt;&gt;"",$B5&lt;&gt;"")</formula>
    </cfRule>
    <cfRule type="expression" dxfId="90" priority="250" stopIfTrue="1">
      <formula>AND($A5&lt;&gt;"",$B5="")</formula>
    </cfRule>
    <cfRule type="expression" dxfId="89" priority="251" stopIfTrue="1">
      <formula>AND($A5="",$B5&lt;&gt;"")</formula>
    </cfRule>
  </conditionalFormatting>
  <conditionalFormatting sqref="B7">
    <cfRule type="expression" priority="243" stopIfTrue="1">
      <formula>AND($A7&lt;&gt;"",$B7&lt;&gt;"")</formula>
    </cfRule>
    <cfRule type="expression" dxfId="88" priority="244" stopIfTrue="1">
      <formula>AND($A7&lt;&gt;"",$B7="")</formula>
    </cfRule>
    <cfRule type="expression" dxfId="87" priority="245" stopIfTrue="1">
      <formula>AND($A7="",$B7&lt;&gt;"")</formula>
    </cfRule>
  </conditionalFormatting>
  <conditionalFormatting sqref="B8">
    <cfRule type="expression" priority="240" stopIfTrue="1">
      <formula>AND($A8&lt;&gt;"",$B8&lt;&gt;"")</formula>
    </cfRule>
    <cfRule type="expression" dxfId="86" priority="241" stopIfTrue="1">
      <formula>AND($A8&lt;&gt;"",$B8="")</formula>
    </cfRule>
    <cfRule type="expression" dxfId="85" priority="242" stopIfTrue="1">
      <formula>AND($A8="",$B8&lt;&gt;"")</formula>
    </cfRule>
  </conditionalFormatting>
  <conditionalFormatting sqref="B9">
    <cfRule type="expression" priority="237" stopIfTrue="1">
      <formula>AND($A9&lt;&gt;"",$B9&lt;&gt;"")</formula>
    </cfRule>
    <cfRule type="expression" dxfId="84" priority="238" stopIfTrue="1">
      <formula>AND($A9&lt;&gt;"",$B9="")</formula>
    </cfRule>
    <cfRule type="expression" dxfId="83" priority="239" stopIfTrue="1">
      <formula>AND($A9="",$B9&lt;&gt;"")</formula>
    </cfRule>
  </conditionalFormatting>
  <conditionalFormatting sqref="B13:B14">
    <cfRule type="expression" priority="234" stopIfTrue="1">
      <formula>AND($A13&lt;&gt;"",$B13&lt;&gt;"")</formula>
    </cfRule>
    <cfRule type="expression" dxfId="82" priority="235" stopIfTrue="1">
      <formula>AND($A13&lt;&gt;"",$B13="")</formula>
    </cfRule>
    <cfRule type="expression" dxfId="81" priority="236" stopIfTrue="1">
      <formula>AND($A13="",$B13&lt;&gt;"")</formula>
    </cfRule>
  </conditionalFormatting>
  <conditionalFormatting sqref="B37">
    <cfRule type="expression" priority="204" stopIfTrue="1">
      <formula>AND($A37&lt;&gt;"",$B37&lt;&gt;"")</formula>
    </cfRule>
    <cfRule type="expression" dxfId="80" priority="205" stopIfTrue="1">
      <formula>AND($A37&lt;&gt;"",$B37="")</formula>
    </cfRule>
    <cfRule type="expression" dxfId="79" priority="206" stopIfTrue="1">
      <formula>AND($A37="",$B37&lt;&gt;"")</formula>
    </cfRule>
  </conditionalFormatting>
  <conditionalFormatting sqref="B38:B40">
    <cfRule type="expression" priority="201" stopIfTrue="1">
      <formula>AND($A38&lt;&gt;"",$B38&lt;&gt;"")</formula>
    </cfRule>
    <cfRule type="expression" dxfId="78" priority="202" stopIfTrue="1">
      <formula>AND($A38&lt;&gt;"",$B38="")</formula>
    </cfRule>
    <cfRule type="expression" dxfId="77" priority="203" stopIfTrue="1">
      <formula>AND($A38="",$B38&lt;&gt;"")</formula>
    </cfRule>
  </conditionalFormatting>
  <conditionalFormatting sqref="B41">
    <cfRule type="expression" priority="198" stopIfTrue="1">
      <formula>AND($A41&lt;&gt;"",$B41&lt;&gt;"")</formula>
    </cfRule>
    <cfRule type="expression" dxfId="76" priority="199" stopIfTrue="1">
      <formula>AND($A41&lt;&gt;"",$B41="")</formula>
    </cfRule>
    <cfRule type="expression" dxfId="75" priority="200" stopIfTrue="1">
      <formula>AND($A41="",$B41&lt;&gt;"")</formula>
    </cfRule>
  </conditionalFormatting>
  <conditionalFormatting sqref="B42:B45">
    <cfRule type="expression" priority="195" stopIfTrue="1">
      <formula>AND($A42&lt;&gt;"",$B42&lt;&gt;"")</formula>
    </cfRule>
    <cfRule type="expression" dxfId="74" priority="196" stopIfTrue="1">
      <formula>AND($A42&lt;&gt;"",$B42="")</formula>
    </cfRule>
    <cfRule type="expression" dxfId="73" priority="197" stopIfTrue="1">
      <formula>AND($A42="",$B42&lt;&gt;"")</formula>
    </cfRule>
  </conditionalFormatting>
  <conditionalFormatting sqref="B47">
    <cfRule type="expression" priority="159" stopIfTrue="1">
      <formula>AND($A47&lt;&gt;"",$B47&lt;&gt;"")</formula>
    </cfRule>
    <cfRule type="expression" dxfId="72" priority="160" stopIfTrue="1">
      <formula>AND($A47&lt;&gt;"",$B47="")</formula>
    </cfRule>
    <cfRule type="expression" dxfId="71" priority="161" stopIfTrue="1">
      <formula>AND($A47="",$B47&lt;&gt;"")</formula>
    </cfRule>
  </conditionalFormatting>
  <conditionalFormatting sqref="B80">
    <cfRule type="expression" priority="150" stopIfTrue="1">
      <formula>AND($A80&lt;&gt;"",$B80&lt;&gt;"")</formula>
    </cfRule>
    <cfRule type="expression" dxfId="70" priority="151" stopIfTrue="1">
      <formula>AND($A80&lt;&gt;"",$B80="")</formula>
    </cfRule>
    <cfRule type="expression" dxfId="69" priority="152" stopIfTrue="1">
      <formula>AND($A80="",$B80&lt;&gt;"")</formula>
    </cfRule>
  </conditionalFormatting>
  <conditionalFormatting sqref="B84">
    <cfRule type="expression" priority="147" stopIfTrue="1">
      <formula>AND($A84&lt;&gt;"",$B84&lt;&gt;"")</formula>
    </cfRule>
    <cfRule type="expression" dxfId="68" priority="148" stopIfTrue="1">
      <formula>AND($A84&lt;&gt;"",$B84="")</formula>
    </cfRule>
    <cfRule type="expression" dxfId="67" priority="149" stopIfTrue="1">
      <formula>AND($A84="",$B84&lt;&gt;"")</formula>
    </cfRule>
  </conditionalFormatting>
  <conditionalFormatting sqref="B85">
    <cfRule type="expression" priority="144" stopIfTrue="1">
      <formula>AND($A85&lt;&gt;"",$B85&lt;&gt;"")</formula>
    </cfRule>
    <cfRule type="expression" dxfId="66" priority="145" stopIfTrue="1">
      <formula>AND($A85&lt;&gt;"",$B85="")</formula>
    </cfRule>
    <cfRule type="expression" dxfId="65" priority="146" stopIfTrue="1">
      <formula>AND($A85="",$B85&lt;&gt;"")</formula>
    </cfRule>
  </conditionalFormatting>
  <conditionalFormatting sqref="B86">
    <cfRule type="expression" priority="141" stopIfTrue="1">
      <formula>AND($A86&lt;&gt;"",$B86&lt;&gt;"")</formula>
    </cfRule>
    <cfRule type="expression" dxfId="64" priority="142" stopIfTrue="1">
      <formula>AND($A86&lt;&gt;"",$B86="")</formula>
    </cfRule>
    <cfRule type="expression" dxfId="63" priority="143" stopIfTrue="1">
      <formula>AND($A86="",$B86&lt;&gt;"")</formula>
    </cfRule>
  </conditionalFormatting>
  <conditionalFormatting sqref="B81">
    <cfRule type="expression" priority="138" stopIfTrue="1">
      <formula>AND($A81&lt;&gt;"",$B81&lt;&gt;"")</formula>
    </cfRule>
    <cfRule type="expression" dxfId="62" priority="139" stopIfTrue="1">
      <formula>AND($A81&lt;&gt;"",$B81="")</formula>
    </cfRule>
    <cfRule type="expression" dxfId="61" priority="140" stopIfTrue="1">
      <formula>AND($A81="",$B81&lt;&gt;"")</formula>
    </cfRule>
  </conditionalFormatting>
  <conditionalFormatting sqref="B83">
    <cfRule type="expression" priority="135" stopIfTrue="1">
      <formula>AND($A83&lt;&gt;"",$B83&lt;&gt;"")</formula>
    </cfRule>
    <cfRule type="expression" dxfId="60" priority="136" stopIfTrue="1">
      <formula>AND($A83&lt;&gt;"",$B83="")</formula>
    </cfRule>
    <cfRule type="expression" dxfId="59" priority="137" stopIfTrue="1">
      <formula>AND($A83="",$B83&lt;&gt;"")</formula>
    </cfRule>
  </conditionalFormatting>
  <conditionalFormatting sqref="B82">
    <cfRule type="expression" priority="132" stopIfTrue="1">
      <formula>AND($A82&lt;&gt;"",$B82&lt;&gt;"")</formula>
    </cfRule>
    <cfRule type="expression" dxfId="58" priority="133" stopIfTrue="1">
      <formula>AND($A82&lt;&gt;"",$B82="")</formula>
    </cfRule>
    <cfRule type="expression" dxfId="57" priority="134" stopIfTrue="1">
      <formula>AND($A82="",$B82&lt;&gt;"")</formula>
    </cfRule>
  </conditionalFormatting>
  <conditionalFormatting sqref="A96:B96">
    <cfRule type="expression" dxfId="56" priority="108" stopIfTrue="1">
      <formula>$A$96=""</formula>
    </cfRule>
  </conditionalFormatting>
  <conditionalFormatting sqref="B134">
    <cfRule type="expression" priority="105" stopIfTrue="1">
      <formula>AND($A134&lt;&gt;"",$B134&lt;&gt;"")</formula>
    </cfRule>
    <cfRule type="expression" dxfId="55" priority="106" stopIfTrue="1">
      <formula>AND($A134&lt;&gt;"",$B134="")</formula>
    </cfRule>
    <cfRule type="expression" dxfId="54" priority="107" stopIfTrue="1">
      <formula>AND($A134="",$B134&lt;&gt;"")</formula>
    </cfRule>
  </conditionalFormatting>
  <conditionalFormatting sqref="A143">
    <cfRule type="expression" priority="102" stopIfTrue="1">
      <formula>AND($A$142&lt;&gt;"",$A$143&lt;&gt;"")</formula>
    </cfRule>
    <cfRule type="expression" dxfId="53" priority="103" stopIfTrue="1">
      <formula>AND($A$142&lt;&gt;"",$A$143="")</formula>
    </cfRule>
    <cfRule type="expression" dxfId="52" priority="104" stopIfTrue="1">
      <formula>AND($A$142="",$A$143&lt;&gt;"")</formula>
    </cfRule>
  </conditionalFormatting>
  <conditionalFormatting sqref="B23">
    <cfRule type="expression" dxfId="51" priority="101" stopIfTrue="1">
      <formula>$B23=""</formula>
    </cfRule>
  </conditionalFormatting>
  <conditionalFormatting sqref="B24">
    <cfRule type="expression" dxfId="50" priority="96" stopIfTrue="1">
      <formula>AND($A$24="",$B$24&lt;&gt;"")</formula>
    </cfRule>
    <cfRule type="expression" priority="97" stopIfTrue="1">
      <formula>AND($A$24&lt;&gt;"",$B$24&lt;&gt;"")</formula>
    </cfRule>
    <cfRule type="expression" dxfId="49" priority="98" stopIfTrue="1">
      <formula>AND($A$24&lt;&gt;"",$B$24="")</formula>
    </cfRule>
  </conditionalFormatting>
  <conditionalFormatting sqref="B25">
    <cfRule type="expression" dxfId="48" priority="93" stopIfTrue="1">
      <formula>AND($A$25="",$B$25&lt;&gt;"")</formula>
    </cfRule>
    <cfRule type="expression" priority="94" stopIfTrue="1">
      <formula>AND($A$25&lt;&gt;"",$B$25&lt;&gt;"")</formula>
    </cfRule>
    <cfRule type="expression" dxfId="47" priority="95" stopIfTrue="1">
      <formula>AND($A$25&lt;&gt;"",$B$25="")</formula>
    </cfRule>
  </conditionalFormatting>
  <conditionalFormatting sqref="B12">
    <cfRule type="expression" dxfId="46" priority="86" stopIfTrue="1">
      <formula>$B$12=""</formula>
    </cfRule>
  </conditionalFormatting>
  <conditionalFormatting sqref="B15">
    <cfRule type="expression" dxfId="45" priority="85" stopIfTrue="1">
      <formula>$B$15=""</formula>
    </cfRule>
  </conditionalFormatting>
  <conditionalFormatting sqref="B16">
    <cfRule type="expression" dxfId="44" priority="79" stopIfTrue="1">
      <formula>AND($A16="",$B16&lt;&gt;"")</formula>
    </cfRule>
    <cfRule type="expression" priority="80" stopIfTrue="1">
      <formula>AND($A16&lt;&gt;"",$B16&lt;&gt;"")</formula>
    </cfRule>
    <cfRule type="expression" dxfId="43" priority="81" stopIfTrue="1">
      <formula>AND($A16&lt;&gt;"",$B16="")</formula>
    </cfRule>
  </conditionalFormatting>
  <conditionalFormatting sqref="B17">
    <cfRule type="expression" dxfId="42" priority="76" stopIfTrue="1">
      <formula>AND($A17="",$B17&lt;&gt;"")</formula>
    </cfRule>
    <cfRule type="expression" priority="77" stopIfTrue="1">
      <formula>AND($A17&lt;&gt;"",$B17&lt;&gt;"")</formula>
    </cfRule>
    <cfRule type="expression" dxfId="41" priority="78" stopIfTrue="1">
      <formula>AND($A17&lt;&gt;"",$B17="")</formula>
    </cfRule>
  </conditionalFormatting>
  <conditionalFormatting sqref="B18">
    <cfRule type="expression" dxfId="40" priority="73" stopIfTrue="1">
      <formula>AND($A18="",$B18&lt;&gt;"")</formula>
    </cfRule>
    <cfRule type="expression" priority="74" stopIfTrue="1">
      <formula>AND($A18&lt;&gt;"",$B18&lt;&gt;"")</formula>
    </cfRule>
    <cfRule type="expression" dxfId="39" priority="75" stopIfTrue="1">
      <formula>AND($A18&lt;&gt;"",$B18="")</formula>
    </cfRule>
  </conditionalFormatting>
  <conditionalFormatting sqref="B19">
    <cfRule type="expression" dxfId="38" priority="70" stopIfTrue="1">
      <formula>AND($A19="",$B19&lt;&gt;"")</formula>
    </cfRule>
    <cfRule type="expression" priority="71" stopIfTrue="1">
      <formula>AND($A19&lt;&gt;"",$B19&lt;&gt;"")</formula>
    </cfRule>
    <cfRule type="expression" dxfId="37" priority="72" stopIfTrue="1">
      <formula>AND($A19&lt;&gt;"",$B19="")</formula>
    </cfRule>
  </conditionalFormatting>
  <conditionalFormatting sqref="B35">
    <cfRule type="expression" priority="67" stopIfTrue="1">
      <formula>AND($A35&lt;&gt;"",$B35&lt;&gt;"")</formula>
    </cfRule>
    <cfRule type="expression" dxfId="36" priority="68" stopIfTrue="1">
      <formula>AND($A35&lt;&gt;"",$B35="")</formula>
    </cfRule>
    <cfRule type="expression" dxfId="35" priority="69" stopIfTrue="1">
      <formula>AND($A35="",$B35&lt;&gt;"")</formula>
    </cfRule>
  </conditionalFormatting>
  <conditionalFormatting sqref="B30">
    <cfRule type="expression" dxfId="34" priority="66" stopIfTrue="1">
      <formula>$B$30=""</formula>
    </cfRule>
  </conditionalFormatting>
  <conditionalFormatting sqref="B31">
    <cfRule type="expression" priority="63" stopIfTrue="1">
      <formula>AND($A31&lt;&gt;"",$B31&lt;&gt;"")</formula>
    </cfRule>
    <cfRule type="expression" dxfId="33" priority="64" stopIfTrue="1">
      <formula>AND($A31&lt;&gt;"",$B31="")</formula>
    </cfRule>
    <cfRule type="expression" dxfId="32" priority="65" stopIfTrue="1">
      <formula>AND($A31="",$B31&lt;&gt;"")</formula>
    </cfRule>
  </conditionalFormatting>
  <conditionalFormatting sqref="A49:B49">
    <cfRule type="expression" dxfId="31" priority="60" stopIfTrue="1">
      <formula>AND($A$48="",$A$49&lt;&gt;"")</formula>
    </cfRule>
    <cfRule type="expression" priority="61" stopIfTrue="1">
      <formula>AND($A$48&lt;&gt;"",$A$49&lt;&gt;"")</formula>
    </cfRule>
    <cfRule type="expression" dxfId="30" priority="62" stopIfTrue="1">
      <formula>AND($A$48&lt;&gt;"",$A$49="")</formula>
    </cfRule>
  </conditionalFormatting>
  <conditionalFormatting sqref="B73">
    <cfRule type="expression" priority="57" stopIfTrue="1">
      <formula>AND($A73&lt;&gt;"",$B73&lt;&gt;"")</formula>
    </cfRule>
    <cfRule type="expression" dxfId="29" priority="58" stopIfTrue="1">
      <formula>AND($A73&lt;&gt;"",$B73="")</formula>
    </cfRule>
    <cfRule type="expression" dxfId="28" priority="59" stopIfTrue="1">
      <formula>AND($A73="",$B73&lt;&gt;"")</formula>
    </cfRule>
  </conditionalFormatting>
  <conditionalFormatting sqref="B55:B56">
    <cfRule type="expression" priority="54" stopIfTrue="1">
      <formula>AND($A55&lt;&gt;"",$B55&lt;&gt;"")</formula>
    </cfRule>
    <cfRule type="expression" dxfId="27" priority="55" stopIfTrue="1">
      <formula>AND($A55&lt;&gt;"",$B55="")</formula>
    </cfRule>
    <cfRule type="expression" dxfId="26" priority="56" stopIfTrue="1">
      <formula>AND($A55="",$B55&lt;&gt;"")</formula>
    </cfRule>
  </conditionalFormatting>
  <conditionalFormatting sqref="B57:B62">
    <cfRule type="expression" priority="51" stopIfTrue="1">
      <formula>AND($A57&lt;&gt;"",$B57&lt;&gt;"")</formula>
    </cfRule>
    <cfRule type="expression" dxfId="25" priority="52" stopIfTrue="1">
      <formula>AND($A57&lt;&gt;"",$B57="")</formula>
    </cfRule>
    <cfRule type="expression" dxfId="24" priority="53" stopIfTrue="1">
      <formula>AND($A57="",$B57&lt;&gt;"")</formula>
    </cfRule>
  </conditionalFormatting>
  <conditionalFormatting sqref="B63:B64">
    <cfRule type="expression" priority="48" stopIfTrue="1">
      <formula>AND($A63&lt;&gt;"",$B63&lt;&gt;"")</formula>
    </cfRule>
    <cfRule type="expression" dxfId="23" priority="49" stopIfTrue="1">
      <formula>AND($A63&lt;&gt;"",$B63="")</formula>
    </cfRule>
    <cfRule type="expression" dxfId="22" priority="50" stopIfTrue="1">
      <formula>AND($A63="",$B63&lt;&gt;"")</formula>
    </cfRule>
  </conditionalFormatting>
  <conditionalFormatting sqref="B65:B71">
    <cfRule type="expression" priority="45" stopIfTrue="1">
      <formula>AND($A65&lt;&gt;"",$B65&lt;&gt;"")</formula>
    </cfRule>
    <cfRule type="expression" dxfId="21" priority="46" stopIfTrue="1">
      <formula>AND($A65&lt;&gt;"",$B65="")</formula>
    </cfRule>
    <cfRule type="expression" dxfId="20" priority="47" stopIfTrue="1">
      <formula>AND($A65="",$B65&lt;&gt;"")</formula>
    </cfRule>
  </conditionalFormatting>
  <conditionalFormatting sqref="A75:B75">
    <cfRule type="expression" dxfId="19" priority="39" stopIfTrue="1">
      <formula>AND($A$74="",$A$75&lt;&gt;"")</formula>
    </cfRule>
    <cfRule type="expression" priority="40" stopIfTrue="1">
      <formula>AND($A$74&lt;&gt;"",$A$75&lt;&gt;"")</formula>
    </cfRule>
    <cfRule type="expression" dxfId="18" priority="41" stopIfTrue="1">
      <formula>AND($A$74&lt;&gt;"",$A$75="")</formula>
    </cfRule>
  </conditionalFormatting>
  <conditionalFormatting sqref="B72">
    <cfRule type="expression" priority="36" stopIfTrue="1">
      <formula>AND($A72&lt;&gt;"",$B72&lt;&gt;"")</formula>
    </cfRule>
    <cfRule type="expression" dxfId="17" priority="37" stopIfTrue="1">
      <formula>AND($A72&lt;&gt;"",$B72="")</formula>
    </cfRule>
    <cfRule type="expression" dxfId="16" priority="38" stopIfTrue="1">
      <formula>AND($A72="",$B72&lt;&gt;"")</formula>
    </cfRule>
  </conditionalFormatting>
  <conditionalFormatting sqref="A90:B90">
    <cfRule type="expression" dxfId="15" priority="25" stopIfTrue="1">
      <formula>AND($A$89="",$A$90&lt;&gt;"")</formula>
    </cfRule>
    <cfRule type="expression" priority="26" stopIfTrue="1">
      <formula>AND($A$89&lt;&gt;"",$A$90&lt;&gt;"")</formula>
    </cfRule>
    <cfRule type="expression" dxfId="14" priority="28" stopIfTrue="1">
      <formula>AND($A$89&lt;&gt;"",$A$90="")</formula>
    </cfRule>
  </conditionalFormatting>
  <conditionalFormatting sqref="B91">
    <cfRule type="expression" dxfId="13" priority="22" stopIfTrue="1">
      <formula>AND($A91="",$B91&lt;&gt;"")</formula>
    </cfRule>
    <cfRule type="expression" dxfId="12" priority="23" stopIfTrue="1">
      <formula>AND($A91&lt;&gt;"",$B91="")</formula>
    </cfRule>
    <cfRule type="expression" priority="24" stopIfTrue="1">
      <formula>AND($A91&lt;&gt;"",$B91="")</formula>
    </cfRule>
  </conditionalFormatting>
  <conditionalFormatting sqref="B92">
    <cfRule type="expression" dxfId="11" priority="13" stopIfTrue="1">
      <formula>AND($A92="",$B92&lt;&gt;"")</formula>
    </cfRule>
    <cfRule type="expression" dxfId="10" priority="14" stopIfTrue="1">
      <formula>AND($A92&lt;&gt;"",$B92="")</formula>
    </cfRule>
    <cfRule type="expression" priority="15" stopIfTrue="1">
      <formula>AND($A92&lt;&gt;"",$B92="")</formula>
    </cfRule>
  </conditionalFormatting>
  <conditionalFormatting sqref="B93">
    <cfRule type="expression" dxfId="9" priority="10" stopIfTrue="1">
      <formula>$A93=""</formula>
    </cfRule>
    <cfRule type="expression" dxfId="8" priority="11" stopIfTrue="1">
      <formula>AND($A93&lt;&gt;"",$B93="")</formula>
    </cfRule>
    <cfRule type="expression" priority="12" stopIfTrue="1">
      <formula>AND($A93&lt;&gt;"",$B93="")</formula>
    </cfRule>
  </conditionalFormatting>
  <conditionalFormatting sqref="B102">
    <cfRule type="expression" dxfId="7" priority="9" stopIfTrue="1">
      <formula>$B$102=""</formula>
    </cfRule>
  </conditionalFormatting>
  <conditionalFormatting sqref="B104">
    <cfRule type="expression" dxfId="6" priority="8" stopIfTrue="1">
      <formula>$B$104=""</formula>
    </cfRule>
  </conditionalFormatting>
  <conditionalFormatting sqref="B103">
    <cfRule type="expression" dxfId="5" priority="5" stopIfTrue="1">
      <formula>AND($A$103="",$B$103&lt;&gt;"")</formula>
    </cfRule>
    <cfRule type="expression" priority="6" stopIfTrue="1">
      <formula>AND($A$103&lt;&gt;"",$B$103&lt;&gt;"")</formula>
    </cfRule>
    <cfRule type="expression" dxfId="4" priority="7" stopIfTrue="1">
      <formula>AND($A$103&lt;&gt;"",$B$103="")</formula>
    </cfRule>
  </conditionalFormatting>
  <conditionalFormatting sqref="B105">
    <cfRule type="expression" dxfId="3" priority="2" stopIfTrue="1">
      <formula>AND($A$105="",$B$105&lt;&gt;"")</formula>
    </cfRule>
    <cfRule type="expression" priority="3" stopIfTrue="1">
      <formula>AND($A$105&lt;&gt;"",$B$105&lt;&gt;"")</formula>
    </cfRule>
    <cfRule type="expression" dxfId="2" priority="4" stopIfTrue="1">
      <formula>AND($A$105&lt;&gt;"",$B$105="")</formula>
    </cfRule>
  </conditionalFormatting>
  <conditionalFormatting sqref="H127:Q127">
    <cfRule type="expression" dxfId="1" priority="1" stopIfTrue="1">
      <formula>AND($B$124="yes",$A$127="")</formula>
    </cfRule>
  </conditionalFormatting>
  <dataValidations count="31">
    <dataValidation type="list" allowBlank="1" showInputMessage="1" showErrorMessage="1" sqref="B5" xr:uid="{00000000-0002-0000-0000-000000000000}">
      <formula1>$B$150:$B$182</formula1>
    </dataValidation>
    <dataValidation type="list" allowBlank="1" showInputMessage="1" showErrorMessage="1" sqref="B12" xr:uid="{00000000-0002-0000-0000-000001000000}">
      <formula1>"population register (census), telephone directory, random digit dialling, other"</formula1>
    </dataValidation>
    <dataValidation type="list" allowBlank="1" showInputMessage="1" showErrorMessage="1" sqref="B16:B17 B35 B140 B110 B120 B112:B114 B116 B118 B37:B45 B55 B123 B24 B71 B69 B67 B65 B63 B61 B59 B79:B80 B57 B53 B101 B104" xr:uid="{00000000-0002-0000-0000-000002000000}">
      <formula1>"yes, no"</formula1>
    </dataValidation>
    <dataValidation type="list" allowBlank="1" showInputMessage="1" showErrorMessage="1" sqref="B99" xr:uid="{00000000-0002-0000-0000-000003000000}">
      <formula1>"questionnaire by post, quest. by email, quest. by post &amp; email, quest. by internet, mixed mode, telephone interview, computer-assisted telephone interview (CATI), personal interview (Face to Face), computer-assisted personal interview (CAPI), other"</formula1>
    </dataValidation>
    <dataValidation type="list" allowBlank="1" showInputMessage="1" showErrorMessage="1" sqref="B132 B134" xr:uid="{00000000-0002-0000-0000-000004000000}">
      <formula1>"none, imputation, other"</formula1>
    </dataValidation>
    <dataValidation type="whole" allowBlank="1" showInputMessage="1" showErrorMessage="1" sqref="B20" xr:uid="{00000000-0002-0000-0000-000005000000}">
      <formula1>0</formula1>
      <formula2>100000000000000</formula2>
    </dataValidation>
    <dataValidation type="decimal" allowBlank="1" showInputMessage="1" showErrorMessage="1" sqref="B21 B82 B141" xr:uid="{00000000-0002-0000-0000-000006000000}">
      <formula1>0</formula1>
      <formula2>100</formula2>
    </dataValidation>
    <dataValidation type="list" allowBlank="1" showInputMessage="1" showErrorMessage="1" sqref="B23" xr:uid="{00000000-0002-0000-0000-000007000000}">
      <formula1>"households, individuals"</formula1>
    </dataValidation>
    <dataValidation type="list" allowBlank="1" showInputMessage="1" showErrorMessage="1" sqref="B81" xr:uid="{00000000-0002-0000-0000-000008000000}">
      <formula1>"i) the entire panel, ii) a certain %age of the panel, iii) members never/infrequently replying, iv) combination of ii) and iii)"</formula1>
    </dataValidation>
    <dataValidation type="decimal" allowBlank="1" showInputMessage="1" showErrorMessage="1" sqref="B83" xr:uid="{00000000-0002-0000-0000-000009000000}">
      <formula1>0</formula1>
      <formula2>100000</formula2>
    </dataValidation>
    <dataValidation type="list" allowBlank="1" showInputMessage="1" showErrorMessage="1" sqref="B8" xr:uid="{00000000-0002-0000-0000-00000A000000}">
      <formula1>"statistical institute, national/regional ministry, central bank, other public body, academic institution, private body, other"</formula1>
    </dataValidation>
    <dataValidation type="whole" allowBlank="1" showInputMessage="1" showErrorMessage="1" sqref="B86" xr:uid="{00000000-0002-0000-0000-00000B000000}">
      <formula1>0</formula1>
      <formula2>1000000000</formula2>
    </dataValidation>
    <dataValidation type="whole" allowBlank="1" showInputMessage="1" showErrorMessage="1" sqref="B84:B85" xr:uid="{00000000-0002-0000-0000-00000C000000}">
      <formula1>0</formula1>
      <formula2>100000000</formula2>
    </dataValidation>
    <dataValidation type="decimal" allowBlank="1" showInputMessage="1" showErrorMessage="1" sqref="B22" xr:uid="{00000000-0002-0000-0000-00000D000000}">
      <formula1>0</formula1>
      <formula2>1000000</formula2>
    </dataValidation>
    <dataValidation type="list" allowBlank="1" showInputMessage="1" showErrorMessage="1" sqref="B122" xr:uid="{00000000-0002-0000-0000-00000E000000}">
      <formula1>"yes (by e-mail), yes (by post), yes (by e-mail &amp; by post), no"</formula1>
    </dataValidation>
    <dataValidation type="whole" allowBlank="1" showInputMessage="1" showErrorMessage="1" sqref="B25 B18" xr:uid="{00000000-0002-0000-0000-00000F000000}">
      <formula1>0</formula1>
      <formula2>10000</formula2>
    </dataValidation>
    <dataValidation type="list" allowBlank="1" showInputMessage="1" showErrorMessage="1" sqref="B15" xr:uid="{00000000-0002-0000-0000-000010000000}">
      <formula1>"households, individuals, other"</formula1>
    </dataValidation>
    <dataValidation type="list" allowBlank="1" showInputMessage="1" showErrorMessage="1" sqref="B14" xr:uid="{00000000-0002-0000-0000-000011000000}">
      <formula1>"only landlines, only mobile phones, landlines and mobile phones"</formula1>
    </dataValidation>
    <dataValidation type="list" allowBlank="1" showInputMessage="1" showErrorMessage="1" sqref="B30" xr:uid="{00000000-0002-0000-0000-000012000000}">
      <formula1>"quota sampling, random sampling, other"</formula1>
    </dataValidation>
    <dataValidation type="whole" allowBlank="1" showInputMessage="1" showErrorMessage="1" sqref="B56 B58 B60 B62 B64 B66 B68 B70 B72" xr:uid="{00000000-0002-0000-0000-000013000000}">
      <formula1>1</formula1>
      <formula2>1000000</formula2>
    </dataValidation>
    <dataValidation type="whole" allowBlank="1" showInputMessage="1" showErrorMessage="1" sqref="B47" xr:uid="{00000000-0002-0000-0000-000014000000}">
      <formula1>1</formula1>
      <formula2>100000000</formula2>
    </dataValidation>
    <dataValidation type="list" allowBlank="1" showInputMessage="1" showErrorMessage="1" sqref="B102" xr:uid="{00000000-0002-0000-0000-000015000000}">
      <formula1>"first 7 days of the reference month, first 14 days of the reference month, first 21 days of the reference month, other"</formula1>
    </dataValidation>
    <dataValidation type="list" allowBlank="1" showInputMessage="1" showErrorMessage="1" sqref="B105" xr:uid="{00000000-0002-0000-0000-000016000000}">
      <formula1>"before, after"</formula1>
    </dataValidation>
    <dataValidation type="list" allowBlank="1" showInputMessage="1" showErrorMessage="1" sqref="H18:Q18" xr:uid="{00000000-0002-0000-0000-000017000000}">
      <formula1>"answer is allocated to all branches in which the enterprise operates "</formula1>
    </dataValidation>
    <dataValidation type="list" allowBlank="1" showInputMessage="1" showErrorMessage="1" sqref="F12 F35 F53 F87" xr:uid="{00000000-0002-0000-0000-000018000000}">
      <formula1>"0, 1, 2, 3, 4"</formula1>
    </dataValidation>
    <dataValidation type="list" allowBlank="1" showInputMessage="1" showErrorMessage="1" sqref="F15:F16 F22 F56" xr:uid="{00000000-0002-0000-0000-000019000000}">
      <formula1>"0, 1, 2"</formula1>
    </dataValidation>
    <dataValidation type="list" allowBlank="1" showInputMessage="1" showErrorMessage="1" sqref="F30" xr:uid="{00000000-0002-0000-0000-00001A000000}">
      <formula1>"0, 1, 2, 3, 4, 5, 6"</formula1>
    </dataValidation>
    <dataValidation type="list" allowBlank="1" showInputMessage="1" showErrorMessage="1" sqref="F86" xr:uid="{00000000-0002-0000-0000-00001B000000}">
      <formula1>"0, 1, 2, 3, 4, 5, 6, 7, 8, 9, 10, 11, 12"</formula1>
    </dataValidation>
    <dataValidation type="list" allowBlank="1" showInputMessage="1" showErrorMessage="1" sqref="F99" xr:uid="{00000000-0002-0000-0000-00001C000000}">
      <formula1>"0, 1, 2, 3, 4, 5"</formula1>
    </dataValidation>
    <dataValidation type="list" allowBlank="1" showInputMessage="1" showErrorMessage="1" sqref="F101 F110 F116 F120" xr:uid="{00000000-0002-0000-0000-00001D000000}">
      <formula1>"0, 1"</formula1>
    </dataValidation>
    <dataValidation type="list" allowBlank="1" showInputMessage="1" showErrorMessage="1" sqref="F147 F137 F141" xr:uid="{00000000-0002-0000-0000-00001E000000}">
      <formula1>"0, 1, 2, 3"</formula1>
    </dataValidation>
  </dataValidations>
  <printOptions gridLines="1"/>
  <pageMargins left="0.70866141732283472" right="0.70866141732283472" top="0.74803149606299213" bottom="0.74803149606299213" header="0.31496062992125984" footer="0.31496062992125984"/>
  <pageSetup paperSize="9" scale="73" fitToHeight="0" orientation="portrait" r:id="rId1"/>
  <headerFooter>
    <oddHeader>&amp;CFORM 8 Descripton Survey Methodology Consumer Survey</oddHeader>
    <oddFooter>&amp;R&amp;P / &amp;N</oddFooter>
  </headerFooter>
  <rowBreaks count="8" manualBreakCount="8">
    <brk id="10" max="1" man="1"/>
    <brk id="27" max="1" man="1"/>
    <brk id="97" max="1" man="1"/>
    <brk id="108" max="1" man="1"/>
    <brk id="119" max="1" man="1"/>
    <brk id="130" max="1" man="1"/>
    <brk id="138" max="16383" man="1"/>
    <brk id="144" max="1" man="1"/>
  </rowBreaks>
  <ignoredErrors>
    <ignoredError sqref="O56"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94"/>
  <sheetViews>
    <sheetView topLeftCell="A69" zoomScale="70" zoomScaleNormal="70" workbookViewId="0">
      <selection activeCell="D23" sqref="D23:E28"/>
    </sheetView>
  </sheetViews>
  <sheetFormatPr defaultRowHeight="14.4" x14ac:dyDescent="0.3"/>
  <cols>
    <col min="1" max="1" width="12.5546875" customWidth="1"/>
    <col min="2" max="2" width="60.5546875" customWidth="1"/>
    <col min="3" max="4" width="12.5546875" customWidth="1"/>
    <col min="5" max="5" width="60.5546875" customWidth="1"/>
    <col min="6" max="6" width="27.44140625" bestFit="1" customWidth="1"/>
    <col min="7" max="7" width="9.21875" customWidth="1"/>
    <col min="8" max="8" width="17.44140625" style="62" bestFit="1" customWidth="1"/>
    <col min="9" max="9" width="9.21875" style="63" customWidth="1"/>
    <col min="10" max="11" width="9.21875" customWidth="1"/>
    <col min="12" max="12" width="9.21875" style="64" customWidth="1"/>
  </cols>
  <sheetData>
    <row r="1" spans="1:9" s="57" customFormat="1" ht="18" x14ac:dyDescent="0.35">
      <c r="A1" s="260" t="str">
        <f>CONCATENATE('Consumer Survey'!B5," - ", 'Consumer Survey'!B6, " survey - ", "(",'Consumer Survey'!B7, ")")</f>
        <v xml:space="preserve"> - Consumer survey - ()</v>
      </c>
      <c r="B1" s="261"/>
      <c r="C1" s="261"/>
      <c r="D1" s="261"/>
      <c r="E1" s="261"/>
      <c r="F1" s="107"/>
      <c r="H1" s="119"/>
      <c r="I1" s="120"/>
    </row>
    <row r="2" spans="1:9" s="57" customFormat="1" x14ac:dyDescent="0.3">
      <c r="B2" s="60"/>
      <c r="C2" s="60"/>
      <c r="D2" s="61"/>
      <c r="E2" s="60"/>
      <c r="F2" s="60"/>
      <c r="H2" s="58"/>
      <c r="I2" s="59"/>
    </row>
    <row r="3" spans="1:9" ht="60" customHeight="1" x14ac:dyDescent="0.3">
      <c r="A3" s="249" t="s">
        <v>67</v>
      </c>
      <c r="B3" s="250"/>
      <c r="C3" s="251"/>
      <c r="D3" s="249" t="s">
        <v>62</v>
      </c>
      <c r="E3" s="250"/>
      <c r="F3" s="267"/>
    </row>
    <row r="4" spans="1:9" ht="18.75" customHeight="1" x14ac:dyDescent="0.3">
      <c r="A4" s="252"/>
      <c r="B4" s="253"/>
      <c r="C4" s="251"/>
      <c r="D4" s="252"/>
      <c r="E4" s="253"/>
      <c r="F4" s="267"/>
    </row>
    <row r="5" spans="1:9" ht="53.1" customHeight="1" x14ac:dyDescent="0.3">
      <c r="A5" s="252" t="s">
        <v>68</v>
      </c>
      <c r="B5" s="253"/>
      <c r="C5" s="251"/>
      <c r="D5" s="252" t="s">
        <v>68</v>
      </c>
      <c r="E5" s="253"/>
      <c r="F5" s="267"/>
    </row>
    <row r="6" spans="1:9" ht="35.1" customHeight="1" x14ac:dyDescent="0.3">
      <c r="A6" s="254" t="str">
        <f>CONCATENATE(H40, " / 60")</f>
        <v>0 / 60</v>
      </c>
      <c r="B6" s="250"/>
      <c r="C6" s="251"/>
      <c r="D6" s="254" t="e">
        <f>CONCATENATE(I40, " / 60")</f>
        <v>#VALUE!</v>
      </c>
      <c r="E6" s="250"/>
      <c r="F6" s="267"/>
    </row>
    <row r="7" spans="1:9" ht="60" customHeight="1" x14ac:dyDescent="0.3">
      <c r="A7" s="70" t="s">
        <v>63</v>
      </c>
      <c r="B7" s="255" t="s">
        <v>64</v>
      </c>
      <c r="C7" s="256"/>
      <c r="D7" s="70" t="s">
        <v>65</v>
      </c>
      <c r="E7" s="255" t="s">
        <v>66</v>
      </c>
      <c r="F7" s="267"/>
    </row>
    <row r="8" spans="1:9" s="64" customFormat="1" ht="18.75" customHeight="1" x14ac:dyDescent="0.3">
      <c r="A8" s="71"/>
      <c r="B8" s="257"/>
      <c r="C8" s="256"/>
      <c r="D8" s="71"/>
      <c r="E8" s="257"/>
      <c r="F8" s="267"/>
      <c r="H8" s="65"/>
      <c r="I8" s="66"/>
    </row>
    <row r="9" spans="1:9" ht="46.5" customHeight="1" x14ac:dyDescent="0.3">
      <c r="A9" s="258" t="s">
        <v>74</v>
      </c>
      <c r="B9" s="259"/>
      <c r="C9" s="256"/>
      <c r="D9" s="264" t="s">
        <v>69</v>
      </c>
      <c r="E9" s="264"/>
      <c r="F9" s="267"/>
      <c r="H9" s="67"/>
      <c r="I9" s="86"/>
    </row>
    <row r="10" spans="1:9" ht="46.5" customHeight="1" x14ac:dyDescent="0.3">
      <c r="A10" s="108" t="str">
        <f>'Consumer Survey'!D12</f>
        <v>NA</v>
      </c>
      <c r="B10" s="263" t="str">
        <f>'Consumer Survey'!E12</f>
        <v>Questionnaire incomplete. Not possible to evaluate quality of the frame.</v>
      </c>
      <c r="C10" s="256"/>
      <c r="D10" s="108" t="str">
        <f>IF('Consumer Survey'!F12&lt;&gt;"",CONCATENATE('Consumer Survey'!F12," / 4"),A10)</f>
        <v>NA</v>
      </c>
      <c r="E10" s="262" t="str">
        <f>IF('Consumer Survey'!G12&lt;&gt;"",'Consumer Survey'!G12,"")</f>
        <v/>
      </c>
      <c r="F10" s="256"/>
      <c r="H10" s="68">
        <f>IF(LEFT(A10,1)&lt;&gt;"N",ABS(LEFT(A10,1)),0)</f>
        <v>0</v>
      </c>
      <c r="I10" s="86" t="e">
        <f>_xlfn.NUMBERVALUE(LEFT(D10,2))</f>
        <v>#VALUE!</v>
      </c>
    </row>
    <row r="11" spans="1:9" ht="46.5" customHeight="1" x14ac:dyDescent="0.3">
      <c r="A11" s="108" t="str">
        <f>'Consumer Survey'!D15</f>
        <v>NA</v>
      </c>
      <c r="B11" s="263" t="str">
        <f>'Consumer Survey'!E15</f>
        <v>Questionnaire incomplete. Not possible to assess if frame population is adequate.</v>
      </c>
      <c r="C11" s="256"/>
      <c r="D11" s="108" t="str">
        <f>IF('Consumer Survey'!F15&lt;&gt;"",CONCATENATE('Consumer Survey'!F15," / 2"),A11)</f>
        <v>NA</v>
      </c>
      <c r="E11" s="262" t="str">
        <f>IF('Consumer Survey'!G15&lt;&gt;"",'Consumer Survey'!G15,"")</f>
        <v/>
      </c>
      <c r="F11" s="256"/>
      <c r="H11" s="68">
        <f>IF(LEFT(A11,1)&lt;&gt;"N",ABS(LEFT(A11,1)),0)</f>
        <v>0</v>
      </c>
      <c r="I11" s="86" t="e">
        <f>_xlfn.NUMBERVALUE(LEFT(D11,2))</f>
        <v>#VALUE!</v>
      </c>
    </row>
    <row r="12" spans="1:9" ht="46.5" customHeight="1" x14ac:dyDescent="0.3">
      <c r="A12" s="108" t="str">
        <f>'Consumer Survey'!D22</f>
        <v>NA</v>
      </c>
      <c r="B12" s="263" t="str">
        <f>'Consumer Survey'!E22</f>
        <v>Questionnaire incomplete. Not possible to assess the updating frequency of the frame.</v>
      </c>
      <c r="C12" s="256"/>
      <c r="D12" s="108" t="str">
        <f>IF('Consumer Survey'!F22&lt;&gt;"",CONCATENATE('Consumer Survey'!F22," / 2"),A12)</f>
        <v>NA</v>
      </c>
      <c r="E12" s="262" t="str">
        <f>IF('Consumer Survey'!G22&lt;&gt;"",'Consumer Survey'!G22,"")</f>
        <v/>
      </c>
      <c r="F12" s="256"/>
      <c r="H12" s="68">
        <f>IF(LEFT(A12,1)&lt;&gt;"N",ABS(LEFT(A12,1)),0)</f>
        <v>0</v>
      </c>
      <c r="I12" s="86" t="e">
        <f>_xlfn.NUMBERVALUE(LEFT(D12,2))</f>
        <v>#VALUE!</v>
      </c>
    </row>
    <row r="13" spans="1:9" ht="46.5" customHeight="1" x14ac:dyDescent="0.3">
      <c r="A13" s="108" t="str">
        <f>'Consumer Survey'!D16</f>
        <v>NA</v>
      </c>
      <c r="B13" s="263" t="str">
        <f>'Consumer Survey'!E16</f>
        <v>Questionnaire incomplete. Not possible to assess whether frame limitation is applied.</v>
      </c>
      <c r="C13" s="256"/>
      <c r="D13" s="108" t="str">
        <f>IF('Consumer Survey'!F16&lt;&gt;"",CONCATENATE('Consumer Survey'!F16," / 2"),A13)</f>
        <v>NA</v>
      </c>
      <c r="E13" s="262" t="str">
        <f>IF('Consumer Survey'!G16&lt;&gt;"",'Consumer Survey'!G16,"")</f>
        <v/>
      </c>
      <c r="F13" s="256"/>
      <c r="H13" s="68">
        <f>IF(LEFT(A13,1)&lt;&gt;"N",ABS(LEFT(A13,1)),0)</f>
        <v>0</v>
      </c>
      <c r="I13" s="86" t="e">
        <f>_xlfn.NUMBERVALUE(LEFT(D13,2))</f>
        <v>#VALUE!</v>
      </c>
    </row>
    <row r="14" spans="1:9" ht="46.5" customHeight="1" x14ac:dyDescent="0.3">
      <c r="A14" s="258" t="s">
        <v>75</v>
      </c>
      <c r="B14" s="259"/>
      <c r="C14" s="256"/>
      <c r="D14" s="264" t="s">
        <v>69</v>
      </c>
      <c r="E14" s="264"/>
      <c r="F14" s="256"/>
      <c r="H14" s="68"/>
      <c r="I14" s="86"/>
    </row>
    <row r="15" spans="1:9" ht="46.5" customHeight="1" x14ac:dyDescent="0.3">
      <c r="A15" s="108" t="str">
        <f>'Consumer Survey'!D30</f>
        <v>NA</v>
      </c>
      <c r="B15" s="263" t="str">
        <f>'Consumer Survey'!E30</f>
        <v>Questionnaire incomplete. Not possible to assess the sampling method.</v>
      </c>
      <c r="C15" s="256"/>
      <c r="D15" s="108" t="str">
        <f>IF('Consumer Survey'!F30&lt;&gt;"",CONCATENATE('Consumer Survey'!F30," / 6"),A15)</f>
        <v>NA</v>
      </c>
      <c r="E15" s="262" t="str">
        <f>IF('Consumer Survey'!G30&lt;&gt;"",'Consumer Survey'!G30,"")</f>
        <v/>
      </c>
      <c r="F15" s="256"/>
      <c r="H15" s="68">
        <f>IF(LEFT(A15,1)&lt;&gt;"N",ABS(LEFT(A15,2)),0)</f>
        <v>0</v>
      </c>
      <c r="I15" s="86" t="e">
        <f>_xlfn.NUMBERVALUE(LEFT(D15,2))</f>
        <v>#VALUE!</v>
      </c>
    </row>
    <row r="16" spans="1:9" ht="46.5" customHeight="1" x14ac:dyDescent="0.3">
      <c r="A16" s="108" t="str">
        <f>'Consumer Survey'!D35</f>
        <v>NA</v>
      </c>
      <c r="B16" s="263" t="str">
        <f>'Consumer Survey'!E35</f>
        <v>No info if stratification is applied.</v>
      </c>
      <c r="C16" s="256"/>
      <c r="D16" s="108" t="str">
        <f>IF('Consumer Survey'!F35&lt;&gt;"",CONCATENATE('Consumer Survey'!F35," / 4"),A16)</f>
        <v>NA</v>
      </c>
      <c r="E16" s="268" t="str">
        <f>IF('Consumer Survey'!G35&lt;&gt;"",'Consumer Survey'!G35,"")</f>
        <v/>
      </c>
      <c r="F16" s="256"/>
      <c r="H16" s="68">
        <f>IF(LEFT(A16,1)&lt;&gt;"N",ABS(LEFT(A16,1)),0)</f>
        <v>0</v>
      </c>
      <c r="I16" s="86" t="e">
        <f>_xlfn.NUMBERVALUE(LEFT(D16,2))</f>
        <v>#VALUE!</v>
      </c>
    </row>
    <row r="17" spans="1:9" ht="46.5" customHeight="1" x14ac:dyDescent="0.3">
      <c r="A17" s="258" t="s">
        <v>76</v>
      </c>
      <c r="B17" s="259"/>
      <c r="C17" s="256"/>
      <c r="D17" s="264" t="s">
        <v>77</v>
      </c>
      <c r="E17" s="264"/>
      <c r="F17" s="256"/>
      <c r="H17" s="68"/>
      <c r="I17" s="86"/>
    </row>
    <row r="18" spans="1:9" ht="46.5" customHeight="1" x14ac:dyDescent="0.3">
      <c r="A18" s="72" t="str">
        <f>'Consumer Survey'!D86</f>
        <v>NA</v>
      </c>
      <c r="B18" s="263" t="e">
        <f>'Consumer Survey'!E86</f>
        <v>#VALUE!</v>
      </c>
      <c r="C18" s="256"/>
      <c r="D18" s="108" t="str">
        <f>IF('Consumer Survey'!F86&lt;&gt;"",CONCATENATE('Consumer Survey'!F86, " / 12"),A18)</f>
        <v>NA</v>
      </c>
      <c r="E18" s="262" t="str">
        <f>IF('Consumer Survey'!G86&lt;&gt;"",'Consumer Survey'!G86,"")</f>
        <v/>
      </c>
      <c r="F18" s="256"/>
      <c r="H18" s="69" t="str">
        <f>'Consumer Survey'!O90</f>
        <v>NA</v>
      </c>
      <c r="I18" s="86" t="e">
        <f>_xlfn.NUMBERVALUE(LEFT(D18,2))</f>
        <v>#VALUE!</v>
      </c>
    </row>
    <row r="19" spans="1:9" ht="46.5" customHeight="1" x14ac:dyDescent="0.3">
      <c r="A19" s="265" t="s">
        <v>78</v>
      </c>
      <c r="B19" s="266"/>
      <c r="C19" s="256"/>
      <c r="D19" s="264" t="s">
        <v>71</v>
      </c>
      <c r="E19" s="264"/>
      <c r="F19" s="256"/>
      <c r="H19" s="68"/>
      <c r="I19" s="86"/>
    </row>
    <row r="20" spans="1:9" ht="46.5" customHeight="1" x14ac:dyDescent="0.3">
      <c r="A20" s="72" t="str">
        <f>'Consumer Survey'!D87</f>
        <v>NA</v>
      </c>
      <c r="B20" s="263" t="e">
        <f>'Consumer Survey'!E87</f>
        <v>#VALUE!</v>
      </c>
      <c r="C20" s="256"/>
      <c r="D20" s="108" t="str">
        <f>IF('Consumer Survey'!F87&lt;&gt;"",CONCATENATE('Consumer Survey'!F87, " / 4"),A20)</f>
        <v>NA</v>
      </c>
      <c r="E20" s="262" t="str">
        <f>IF('Consumer Survey'!G87&lt;&gt;"",'Consumer Survey'!G87,"")</f>
        <v/>
      </c>
      <c r="F20" s="256"/>
      <c r="H20" s="69" t="str">
        <f>'Consumer Survey'!O92</f>
        <v>NA</v>
      </c>
      <c r="I20" s="86" t="e">
        <f>_xlfn.NUMBERVALUE(LEFT(D20,2))</f>
        <v>#VALUE!</v>
      </c>
    </row>
    <row r="21" spans="1:9" ht="46.5" customHeight="1" x14ac:dyDescent="0.3">
      <c r="A21" s="258" t="s">
        <v>79</v>
      </c>
      <c r="B21" s="259"/>
      <c r="C21" s="256"/>
      <c r="D21" s="264" t="s">
        <v>70</v>
      </c>
      <c r="E21" s="264"/>
      <c r="F21" s="256"/>
      <c r="H21" s="68"/>
      <c r="I21" s="86"/>
    </row>
    <row r="22" spans="1:9" ht="46.5" customHeight="1" x14ac:dyDescent="0.3">
      <c r="A22" s="108" t="str">
        <f>'Consumer Survey'!D99</f>
        <v>NA</v>
      </c>
      <c r="B22" s="263" t="str">
        <f>'Consumer Survey'!E99</f>
        <v>Questionnaire incomplete. Not possible to allocate points for the survey mode applied.</v>
      </c>
      <c r="C22" s="256"/>
      <c r="D22" s="108" t="str">
        <f>IF('Consumer Survey'!F99&lt;&gt;"",CONCATENATE('Consumer Survey'!F99, " / 5"),A22)</f>
        <v>NA</v>
      </c>
      <c r="E22" s="262" t="str">
        <f>IF('Consumer Survey'!G99&lt;&gt;"",'Consumer Survey'!G99,"")</f>
        <v/>
      </c>
      <c r="F22" s="256"/>
      <c r="H22" s="68">
        <f>IF(LEFT(A22,1)&lt;&gt;"N",ABS(LEFT(A22,1)),0)</f>
        <v>0</v>
      </c>
      <c r="I22" s="86" t="e">
        <f>_xlfn.NUMBERVALUE(LEFT(D22,2))</f>
        <v>#VALUE!</v>
      </c>
    </row>
    <row r="23" spans="1:9" ht="46.5" customHeight="1" x14ac:dyDescent="0.3">
      <c r="A23" s="108" t="str">
        <f>'Consumer Survey'!D101</f>
        <v>NA</v>
      </c>
      <c r="B23" s="263" t="str">
        <f>'Consumer Survey'!E101</f>
        <v>No information on survey mode supplied. Therefore, no points can be allocated for making potential interviewers' wages performance-dependent.</v>
      </c>
      <c r="C23" s="256"/>
      <c r="D23" s="108" t="str">
        <f>IF('Consumer Survey'!F101&lt;&gt;"",CONCATENATE('Consumer Survey'!F101," / 1"),A23)</f>
        <v>NA</v>
      </c>
      <c r="E23" s="262" t="str">
        <f>IF('Consumer Survey'!G101&lt;&gt;"",'Consumer Survey'!G101,"")</f>
        <v/>
      </c>
      <c r="F23" s="256"/>
      <c r="H23" s="68">
        <f>IF(LEFT(A23,1)&lt;&gt;"N",ABS(LEFT(A23,1)),0)</f>
        <v>0</v>
      </c>
      <c r="I23" s="86" t="e">
        <f>_xlfn.NUMBERVALUE(LEFT(D23,2))</f>
        <v>#VALUE!</v>
      </c>
    </row>
    <row r="24" spans="1:9" ht="46.5" customHeight="1" x14ac:dyDescent="0.3">
      <c r="A24" s="258" t="s">
        <v>80</v>
      </c>
      <c r="B24" s="259"/>
      <c r="C24" s="256"/>
      <c r="D24" s="264" t="s">
        <v>72</v>
      </c>
      <c r="E24" s="264"/>
      <c r="F24" s="256"/>
      <c r="H24" s="68"/>
      <c r="I24" s="86"/>
    </row>
    <row r="25" spans="1:9" ht="46.5" customHeight="1" x14ac:dyDescent="0.3">
      <c r="A25" s="108" t="str">
        <f>'Consumer Survey'!D110</f>
        <v>NA</v>
      </c>
      <c r="B25" s="263" t="str">
        <f>'Consumer Survey'!E110</f>
        <v>Questionnaire incomplete. Not possible to allocate points for taking response-rate enhacing measures prior to conducting survey.</v>
      </c>
      <c r="C25" s="256"/>
      <c r="D25" s="108" t="str">
        <f>IF('Consumer Survey'!F110&lt;&gt;"",CONCATENATE('Consumer Survey'!F110, " / 1"),A25)</f>
        <v>NA</v>
      </c>
      <c r="E25" s="262" t="str">
        <f>IF('Consumer Survey'!G110&lt;&gt;"",'Consumer Survey'!G110,"")</f>
        <v/>
      </c>
      <c r="F25" s="256"/>
      <c r="H25" s="68">
        <f>IF(LEFT(A25,1)&lt;&gt;"N",ABS(LEFT(A25,1)),0)</f>
        <v>0</v>
      </c>
      <c r="I25" s="86" t="e">
        <f>_xlfn.NUMBERVALUE(LEFT(D25,2))</f>
        <v>#VALUE!</v>
      </c>
    </row>
    <row r="26" spans="1:9" ht="46.5" customHeight="1" x14ac:dyDescent="0.3">
      <c r="A26" s="108" t="str">
        <f>'Consumer Survey'!D116</f>
        <v>NA</v>
      </c>
      <c r="B26" s="263" t="str">
        <f>'Consumer Survey'!E116</f>
        <v>Questionnaire incomplete. Not possible to allocate points for taking response-rate enhacing measures conditional on participation in the survey.</v>
      </c>
      <c r="C26" s="256"/>
      <c r="D26" s="108" t="str">
        <f>IF('Consumer Survey'!F116&lt;&gt;"",CONCATENATE('Consumer Survey'!F116, " / 1"),A26)</f>
        <v>NA</v>
      </c>
      <c r="E26" s="262" t="str">
        <f>IF('Consumer Survey'!G116&lt;&gt;"",'Consumer Survey'!G116,"")</f>
        <v/>
      </c>
      <c r="F26" s="256"/>
      <c r="H26" s="68">
        <f>IF(LEFT(A26,1)&lt;&gt;"N",ABS(LEFT(A26,1)),0)</f>
        <v>0</v>
      </c>
      <c r="I26" s="86" t="e">
        <f>_xlfn.NUMBERVALUE(LEFT(D26,2))</f>
        <v>#VALUE!</v>
      </c>
    </row>
    <row r="27" spans="1:9" ht="46.5" customHeight="1" x14ac:dyDescent="0.3">
      <c r="A27" s="108" t="str">
        <f>'Consumer Survey'!D120</f>
        <v>NA</v>
      </c>
      <c r="B27" s="263" t="str">
        <f>'Consumer Survey'!E120</f>
        <v>Questionnaire incomplete. Not possible to allocate points for taking response-rate enhacing measures after first attempt to contact respondents.</v>
      </c>
      <c r="C27" s="256"/>
      <c r="D27" s="108" t="str">
        <f>IF('Consumer Survey'!F120&lt;&gt;"",CONCATENATE('Consumer Survey'!F120, " / 1"),A27)</f>
        <v>NA</v>
      </c>
      <c r="E27" s="262" t="str">
        <f>IF('Consumer Survey'!G120&lt;&gt;"",'Consumer Survey'!G120,"")</f>
        <v/>
      </c>
      <c r="F27" s="256"/>
      <c r="H27" s="68">
        <f>IF(LEFT(A27,1)&lt;&gt;"N",ABS(LEFT(A27,1)),0)</f>
        <v>0</v>
      </c>
      <c r="I27" s="86" t="e">
        <f>_xlfn.NUMBERVALUE(LEFT(D27,2))</f>
        <v>#VALUE!</v>
      </c>
    </row>
    <row r="28" spans="1:9" ht="46.5" customHeight="1" x14ac:dyDescent="0.3">
      <c r="A28" s="258" t="s">
        <v>81</v>
      </c>
      <c r="B28" s="259"/>
      <c r="C28" s="256"/>
      <c r="D28" s="264" t="s">
        <v>72</v>
      </c>
      <c r="E28" s="264"/>
      <c r="F28" s="256"/>
      <c r="H28" s="68"/>
      <c r="I28" s="86"/>
    </row>
    <row r="29" spans="1:9" ht="46.5" customHeight="1" x14ac:dyDescent="0.3">
      <c r="A29" s="252"/>
      <c r="B29" s="253"/>
      <c r="C29" s="256"/>
      <c r="D29" s="108" t="str">
        <f>IF('Consumer Survey'!F137&lt;&gt;"",CONCATENATE('Consumer Survey'!F137, " / 3"),"")</f>
        <v/>
      </c>
      <c r="E29" s="262" t="str">
        <f>IF('Consumer Survey'!G137&lt;&gt;"",'Consumer Survey'!G137,"")</f>
        <v/>
      </c>
      <c r="F29" s="256"/>
      <c r="H29" s="68"/>
      <c r="I29" s="86">
        <f>_xlfn.NUMBERVALUE(LEFT(D29,2))</f>
        <v>0</v>
      </c>
    </row>
    <row r="30" spans="1:9" ht="46.5" customHeight="1" x14ac:dyDescent="0.3">
      <c r="A30" s="258" t="s">
        <v>82</v>
      </c>
      <c r="B30" s="259"/>
      <c r="C30" s="256"/>
      <c r="D30" s="264" t="s">
        <v>70</v>
      </c>
      <c r="E30" s="264"/>
      <c r="F30" s="256"/>
      <c r="H30" s="68"/>
      <c r="I30" s="86"/>
    </row>
    <row r="31" spans="1:9" ht="46.5" customHeight="1" x14ac:dyDescent="0.3">
      <c r="A31" s="108" t="str">
        <f>'Consumer Survey'!D53</f>
        <v>NA</v>
      </c>
      <c r="B31" s="263" t="str">
        <f>'Consumer Survey'!E53</f>
        <v>Incomplete questionnaire. It is not stated whether weighting system will be applied or not.</v>
      </c>
      <c r="C31" s="256"/>
      <c r="D31" s="108" t="str">
        <f>IF('Consumer Survey'!F53&lt;&gt;"",CONCATENATE('Consumer Survey'!F53," / 4"),A31)</f>
        <v>NA</v>
      </c>
      <c r="E31" s="262" t="str">
        <f>IF('Consumer Survey'!G53&lt;&gt;"",'Consumer Survey'!G53,"")</f>
        <v/>
      </c>
      <c r="F31" s="256"/>
      <c r="H31" s="68">
        <f>IF(LEFT(A31,1)&lt;&gt;"N",ABS(LEFT(A31,1)),0)</f>
        <v>0</v>
      </c>
      <c r="I31" s="86" t="e">
        <f>_xlfn.NUMBERVALUE(LEFT(D31,2))</f>
        <v>#VALUE!</v>
      </c>
    </row>
    <row r="32" spans="1:9" ht="46.5" customHeight="1" x14ac:dyDescent="0.3">
      <c r="A32" s="108" t="str">
        <f>'Consumer Survey'!D56</f>
        <v>NA</v>
      </c>
      <c r="B32" s="263" t="str">
        <f>'Consumer Survey'!E56</f>
        <v>Incomplete questionnaire. Not possible to allocate weights for regular updating of weights.</v>
      </c>
      <c r="C32" s="256"/>
      <c r="D32" s="108" t="str">
        <f>IF('Consumer Survey'!F56&lt;&gt;"",CONCATENATE('Consumer Survey'!F56," / 2"),A32)</f>
        <v>NA</v>
      </c>
      <c r="E32" s="262" t="str">
        <f>IF('Consumer Survey'!G56&lt;&gt;"",'Consumer Survey'!G56,"")</f>
        <v/>
      </c>
      <c r="F32" s="256"/>
      <c r="H32" s="68">
        <f>IF(LEFT(A32,1)&lt;&gt;"N",ABS(LEFT(A32,1)),0)</f>
        <v>0</v>
      </c>
      <c r="I32" s="86" t="e">
        <f>_xlfn.NUMBERVALUE(LEFT(D32,2))</f>
        <v>#VALUE!</v>
      </c>
    </row>
    <row r="33" spans="1:9" ht="46.5" customHeight="1" x14ac:dyDescent="0.3">
      <c r="A33" s="258" t="s">
        <v>83</v>
      </c>
      <c r="B33" s="259"/>
      <c r="C33" s="256"/>
      <c r="D33" s="264" t="s">
        <v>72</v>
      </c>
      <c r="E33" s="264"/>
      <c r="F33" s="256"/>
      <c r="H33" s="68"/>
      <c r="I33" s="86"/>
    </row>
    <row r="34" spans="1:9" ht="46.5" customHeight="1" x14ac:dyDescent="0.3">
      <c r="A34" s="108" t="str">
        <f>'Consumer Survey'!D141</f>
        <v>NA</v>
      </c>
      <c r="B34" s="263" t="str">
        <f>'Consumer Survey'!E141</f>
        <v>Questionnaire incomplete.</v>
      </c>
      <c r="C34" s="256"/>
      <c r="D34" s="108" t="str">
        <f>IF('Consumer Survey'!F141&lt;&gt;"",CONCATENATE('Consumer Survey'!F141," / 3"),A34)</f>
        <v>NA</v>
      </c>
      <c r="E34" s="268" t="str">
        <f>IF('Consumer Survey'!G141&lt;&gt;"",'Consumer Survey'!G141,"")</f>
        <v/>
      </c>
      <c r="F34" s="256"/>
      <c r="H34" s="68">
        <f>IF(LEFT(A34,1)&lt;&gt;"N",ABS(LEFT(A34,1)),0)</f>
        <v>0</v>
      </c>
      <c r="I34" s="86" t="e">
        <f>_xlfn.NUMBERVALUE(LEFT(D34,2))</f>
        <v>#VALUE!</v>
      </c>
    </row>
    <row r="35" spans="1:9" ht="46.5" customHeight="1" x14ac:dyDescent="0.3">
      <c r="A35" s="258" t="s">
        <v>93</v>
      </c>
      <c r="B35" s="259"/>
      <c r="C35" s="256"/>
      <c r="D35" s="264" t="s">
        <v>72</v>
      </c>
      <c r="E35" s="264"/>
      <c r="F35" s="256"/>
      <c r="H35" s="68"/>
      <c r="I35" s="86"/>
    </row>
    <row r="36" spans="1:9" ht="46.5" customHeight="1" x14ac:dyDescent="0.3">
      <c r="A36" s="252"/>
      <c r="B36" s="263"/>
      <c r="C36" s="256"/>
      <c r="D36" s="108" t="str">
        <f>IF('Consumer Survey'!F147&lt;&gt;"",CONCATENATE('Consumer Survey'!F147," / 3"),"")</f>
        <v/>
      </c>
      <c r="E36" s="268" t="str">
        <f>IF('Consumer Survey'!G147&lt;&gt;"",'Consumer Survey'!G147,"")</f>
        <v/>
      </c>
      <c r="F36" s="256"/>
      <c r="H36" s="68"/>
      <c r="I36" s="86">
        <f>_xlfn.NUMBERVALUE(LEFT(D36,2))</f>
        <v>0</v>
      </c>
    </row>
    <row r="37" spans="1:9" x14ac:dyDescent="0.3">
      <c r="E37" s="109"/>
      <c r="F37" s="109"/>
      <c r="H37" s="68"/>
      <c r="I37" s="86"/>
    </row>
    <row r="38" spans="1:9" x14ac:dyDescent="0.3">
      <c r="E38" s="109"/>
      <c r="F38" s="109"/>
      <c r="H38" s="68"/>
      <c r="I38" s="86"/>
    </row>
    <row r="39" spans="1:9" ht="15" thickBot="1" x14ac:dyDescent="0.35">
      <c r="E39" s="109"/>
      <c r="F39" s="109"/>
      <c r="H39" s="68"/>
      <c r="I39" s="86"/>
    </row>
    <row r="40" spans="1:9" ht="105" customHeight="1" x14ac:dyDescent="0.3">
      <c r="A40" s="272" t="s">
        <v>110</v>
      </c>
      <c r="B40" s="273"/>
      <c r="C40" s="274"/>
      <c r="D40" s="270" t="s">
        <v>69</v>
      </c>
      <c r="E40" s="270"/>
      <c r="F40" s="271"/>
      <c r="H40" s="68">
        <f>SUM(H10:H36)</f>
        <v>0</v>
      </c>
      <c r="I40" s="67" t="e">
        <f>SUM(I10:I36)</f>
        <v>#VALUE!</v>
      </c>
    </row>
    <row r="41" spans="1:9" ht="21" x14ac:dyDescent="0.3">
      <c r="A41" s="121"/>
      <c r="B41" s="111"/>
      <c r="C41" s="111"/>
      <c r="D41" s="112"/>
      <c r="E41" s="112"/>
      <c r="F41" s="122"/>
      <c r="H41" s="68"/>
      <c r="I41" s="67"/>
    </row>
    <row r="42" spans="1:9" ht="54" x14ac:dyDescent="0.3">
      <c r="A42" s="123" t="s">
        <v>63</v>
      </c>
      <c r="B42" s="255" t="s">
        <v>64</v>
      </c>
      <c r="C42" s="256"/>
      <c r="D42" s="116" t="s">
        <v>65</v>
      </c>
      <c r="E42" s="255" t="s">
        <v>66</v>
      </c>
      <c r="F42" s="269"/>
      <c r="H42" s="68"/>
      <c r="I42" s="67"/>
    </row>
    <row r="43" spans="1:9" ht="21" x14ac:dyDescent="0.3">
      <c r="A43" s="124"/>
      <c r="B43" s="113"/>
      <c r="C43" s="111"/>
      <c r="D43" s="114"/>
      <c r="E43" s="115"/>
      <c r="F43" s="122"/>
      <c r="H43" s="68"/>
      <c r="I43" s="67"/>
    </row>
    <row r="44" spans="1:9" ht="30" customHeight="1" x14ac:dyDescent="0.3">
      <c r="A44" s="281" t="s">
        <v>115</v>
      </c>
      <c r="B44" s="282"/>
      <c r="C44" s="282"/>
      <c r="D44" s="283"/>
      <c r="E44" s="283"/>
      <c r="F44" s="284"/>
    </row>
    <row r="45" spans="1:9" x14ac:dyDescent="0.3">
      <c r="A45" s="277" t="s">
        <v>111</v>
      </c>
      <c r="B45" s="278"/>
      <c r="C45" s="279"/>
      <c r="D45" s="279"/>
      <c r="E45" s="279"/>
      <c r="F45" s="125"/>
    </row>
    <row r="46" spans="1:9" x14ac:dyDescent="0.3">
      <c r="A46" s="280" t="s">
        <v>112</v>
      </c>
      <c r="B46" s="278"/>
      <c r="C46" s="279"/>
      <c r="D46" s="279"/>
      <c r="E46" s="279"/>
      <c r="F46" s="125"/>
    </row>
    <row r="47" spans="1:9" x14ac:dyDescent="0.3">
      <c r="A47" s="280" t="s">
        <v>113</v>
      </c>
      <c r="B47" s="278"/>
      <c r="C47" s="279"/>
      <c r="D47" s="279"/>
      <c r="E47" s="279"/>
      <c r="F47" s="125"/>
    </row>
    <row r="48" spans="1:9" x14ac:dyDescent="0.3">
      <c r="A48" s="280" t="s">
        <v>114</v>
      </c>
      <c r="B48" s="278"/>
      <c r="C48" s="279"/>
      <c r="D48" s="279"/>
      <c r="E48" s="279"/>
      <c r="F48" s="125"/>
    </row>
    <row r="49" spans="1:9" ht="30" customHeight="1" x14ac:dyDescent="0.3">
      <c r="A49" s="126" t="str">
        <f>IF(OR(F45="",F46="",F47="",F48=""),"NA",IF(COUNTIF(F45:F48,"yes")&gt;2,5,0))</f>
        <v>NA</v>
      </c>
      <c r="B49" s="275" t="str">
        <f>IF(A49=5,"The organisation is structured into different entities, allowing for a clear division of tasks.",IF(A49=0,"The structure of the organisation and the division of tasks is not entirely clear.",""))</f>
        <v/>
      </c>
      <c r="C49" s="200"/>
      <c r="D49" s="110"/>
      <c r="E49" s="275"/>
      <c r="F49" s="276"/>
      <c r="H49" s="67" t="str">
        <f>IF(D49&lt;&gt;"",D49,A49)</f>
        <v>NA</v>
      </c>
      <c r="I49" s="118" t="str">
        <f>IF(E49&lt;&gt;"",E49,B49)</f>
        <v/>
      </c>
    </row>
    <row r="50" spans="1:9" ht="30.75" customHeight="1" x14ac:dyDescent="0.3">
      <c r="A50" s="285" t="s">
        <v>116</v>
      </c>
      <c r="B50" s="286"/>
      <c r="C50" s="286"/>
      <c r="D50" s="286"/>
      <c r="E50" s="286"/>
      <c r="F50" s="127"/>
      <c r="H50" s="67"/>
      <c r="I50" s="118"/>
    </row>
    <row r="51" spans="1:9" ht="45.75" customHeight="1" x14ac:dyDescent="0.3">
      <c r="A51" s="126" t="str">
        <f>IF(F50="yes",5,IF(F50="no",0,"NA"))</f>
        <v>NA</v>
      </c>
      <c r="B51" s="275" t="str">
        <f>IF(A51=5,"The timing of the different steps of the project is realistic.",IF(A51=0,"The timing of the different steps of the project (e.g. between the end of the fieldwork and the submission of the data to the Commission) does not leave enough room for contingencies.",""))</f>
        <v/>
      </c>
      <c r="C51" s="200"/>
      <c r="D51" s="110"/>
      <c r="E51" s="275"/>
      <c r="F51" s="276"/>
      <c r="H51" s="67" t="str">
        <f>IF(D51&lt;&gt;"",D51,A51)</f>
        <v>NA</v>
      </c>
      <c r="I51" s="118" t="str">
        <f>IF(E51&lt;&gt;"",E51,B51)</f>
        <v/>
      </c>
    </row>
    <row r="52" spans="1:9" ht="30" customHeight="1" x14ac:dyDescent="0.3">
      <c r="A52" s="285" t="s">
        <v>118</v>
      </c>
      <c r="B52" s="286"/>
      <c r="C52" s="286"/>
      <c r="D52" s="286"/>
      <c r="E52" s="286"/>
      <c r="F52" s="127"/>
      <c r="H52" s="67"/>
      <c r="I52" s="118"/>
    </row>
    <row r="53" spans="1:9" ht="30" customHeight="1" x14ac:dyDescent="0.3">
      <c r="A53" s="285" t="s">
        <v>117</v>
      </c>
      <c r="B53" s="286"/>
      <c r="C53" s="286"/>
      <c r="D53" s="286"/>
      <c r="E53" s="286"/>
      <c r="F53" s="127"/>
      <c r="H53" s="67"/>
      <c r="I53" s="118"/>
    </row>
    <row r="54" spans="1:9" ht="46.5" customHeight="1" thickBot="1" x14ac:dyDescent="0.35">
      <c r="A54" s="128" t="str">
        <f>IF(OR(F52="yes (co-applicants)",F52="yes (sub-contractors)"),IF(F53="yes",0,IF(F53="no",-3,IF(F53="NA","","NA"))),"NA")</f>
        <v>NA</v>
      </c>
      <c r="B54" s="287" t="str">
        <f>IF(AND(A54=0,F52="yes (sub-contractors)"),"The proposal envisages measures to ensure proper coordination with the sub-contractor(s).",IF(AND(A54=0,F52="yes (co-applicants)"),"The proposal envisages measures to ensure proper coordination between the co-applicants.",IF(AND(A54=-3,F52="yes (sub-contractors)"),"The proposal does not foresee measures to ensure proper coordination with the sub-contractor(s).",IF(AND(A54=-3,F52="yes (co-applicants)"),"The proposal does not foresee measures to ensure proper coordination between the co-applicants.",""))))</f>
        <v/>
      </c>
      <c r="C54" s="289"/>
      <c r="D54" s="129"/>
      <c r="E54" s="287"/>
      <c r="F54" s="288"/>
      <c r="H54" s="67" t="str">
        <f>IF(D54&lt;&gt;"",D54,A54)</f>
        <v>NA</v>
      </c>
      <c r="I54" s="118" t="str">
        <f>IF(E54&lt;&gt;"",E54,B54)</f>
        <v/>
      </c>
    </row>
    <row r="55" spans="1:9" x14ac:dyDescent="0.3">
      <c r="H55" s="67">
        <f>SUM(H49,H51,H54)</f>
        <v>0</v>
      </c>
      <c r="I55" s="118" t="str">
        <f>CONCATENATE(I49," ",I51," ",I54)</f>
        <v xml:space="preserve">  </v>
      </c>
    </row>
    <row r="57" spans="1:9" ht="15" thickBot="1" x14ac:dyDescent="0.35"/>
    <row r="58" spans="1:9" ht="103.5" customHeight="1" x14ac:dyDescent="0.3">
      <c r="A58" s="272" t="s">
        <v>119</v>
      </c>
      <c r="B58" s="273"/>
      <c r="C58" s="274"/>
      <c r="D58" s="270" t="s">
        <v>69</v>
      </c>
      <c r="E58" s="270"/>
      <c r="F58" s="271"/>
    </row>
    <row r="59" spans="1:9" ht="21" x14ac:dyDescent="0.3">
      <c r="A59" s="121"/>
      <c r="B59" s="111"/>
      <c r="C59" s="111"/>
      <c r="D59" s="112"/>
      <c r="E59" s="112"/>
      <c r="F59" s="122"/>
    </row>
    <row r="60" spans="1:9" ht="54" x14ac:dyDescent="0.3">
      <c r="A60" s="123" t="s">
        <v>63</v>
      </c>
      <c r="B60" s="255" t="s">
        <v>64</v>
      </c>
      <c r="C60" s="256"/>
      <c r="D60" s="116" t="s">
        <v>65</v>
      </c>
      <c r="E60" s="255" t="s">
        <v>66</v>
      </c>
      <c r="F60" s="269"/>
    </row>
    <row r="61" spans="1:9" ht="21" x14ac:dyDescent="0.3">
      <c r="A61" s="124"/>
      <c r="B61" s="113"/>
      <c r="C61" s="111"/>
      <c r="D61" s="114"/>
      <c r="E61" s="115"/>
      <c r="F61" s="122"/>
    </row>
    <row r="62" spans="1:9" x14ac:dyDescent="0.3">
      <c r="A62" s="281" t="s">
        <v>120</v>
      </c>
      <c r="B62" s="282"/>
      <c r="C62" s="282"/>
      <c r="D62" s="283"/>
      <c r="E62" s="283"/>
      <c r="F62" s="284"/>
    </row>
    <row r="63" spans="1:9" x14ac:dyDescent="0.3">
      <c r="A63" s="277" t="s">
        <v>122</v>
      </c>
      <c r="B63" s="278"/>
      <c r="C63" s="279"/>
      <c r="D63" s="279"/>
      <c r="E63" s="279"/>
      <c r="F63" s="125"/>
    </row>
    <row r="64" spans="1:9" x14ac:dyDescent="0.3">
      <c r="A64" s="280" t="s">
        <v>121</v>
      </c>
      <c r="B64" s="278"/>
      <c r="C64" s="279"/>
      <c r="D64" s="279"/>
      <c r="E64" s="279"/>
      <c r="F64" s="125"/>
    </row>
    <row r="65" spans="1:9" ht="45.75" customHeight="1" thickBot="1" x14ac:dyDescent="0.35">
      <c r="A65" s="128" t="str">
        <f>IF(AND(F63="yes",F64="yes"),6+4,IF(AND(F63="yes",F64="no"),6+0,IF(AND(F63="no",F64="yes"),0+4,IF(AND(F63="no",F64="no"),0+0,"NA"))))</f>
        <v>NA</v>
      </c>
      <c r="B65" s="287" t="str">
        <f>IF(OR(F63="",F64=""),"",IF(AND(F63="yes",F64="yes"),"The publication of the data at national level is ensured. Furthermore, the proposal foresees the use of the data for economic research, fostering critical review by experts.",IF(AND(F63="yes",F64="no"),"The publication of the data at national level is envisaged, ensuring public critical review. However, the proposal does not foresee the use of the data for economic research.",IF(AND(F63="no",F64="yes"),"There is no publication of the data at national level envisaged. However, the proposal does foresee the use of the data for economic research, ensuring some degree of critical review by experts.",IF(AND(F63="no",F64="no"),"There is no publication of the data at national level envisaged. Furthermore, the proposal does not foresee the use of the data for economic research. Critical review of the data is thus not foreseen.")))))</f>
        <v/>
      </c>
      <c r="C65" s="289"/>
      <c r="D65" s="129"/>
      <c r="E65" s="287"/>
      <c r="F65" s="288"/>
      <c r="H65" s="67" t="str">
        <f>IF(D65&lt;&gt;"",D65,A65)</f>
        <v>NA</v>
      </c>
      <c r="I65" s="118" t="str">
        <f>IF(E65&lt;&gt;"",E65,B65)</f>
        <v/>
      </c>
    </row>
    <row r="68" spans="1:9" ht="15" thickBot="1" x14ac:dyDescent="0.35"/>
    <row r="69" spans="1:9" ht="86.25" customHeight="1" x14ac:dyDescent="0.3">
      <c r="A69" s="290" t="s">
        <v>142</v>
      </c>
      <c r="B69" s="291"/>
      <c r="C69" s="292"/>
      <c r="D69" s="270" t="s">
        <v>123</v>
      </c>
      <c r="E69" s="270"/>
      <c r="F69" s="271"/>
    </row>
    <row r="70" spans="1:9" ht="21" x14ac:dyDescent="0.3">
      <c r="A70" s="121"/>
      <c r="B70" s="111"/>
      <c r="C70" s="111"/>
      <c r="D70" s="112"/>
      <c r="E70" s="112"/>
      <c r="F70" s="122"/>
    </row>
    <row r="71" spans="1:9" ht="54" x14ac:dyDescent="0.3">
      <c r="A71" s="123" t="s">
        <v>63</v>
      </c>
      <c r="B71" s="255" t="s">
        <v>64</v>
      </c>
      <c r="C71" s="256"/>
      <c r="D71" s="116" t="s">
        <v>65</v>
      </c>
      <c r="E71" s="255" t="s">
        <v>66</v>
      </c>
      <c r="F71" s="269"/>
    </row>
    <row r="72" spans="1:9" ht="21" x14ac:dyDescent="0.3">
      <c r="A72" s="124"/>
      <c r="B72" s="113"/>
      <c r="C72" s="111"/>
      <c r="D72" s="114"/>
      <c r="E72" s="115"/>
      <c r="F72" s="122"/>
    </row>
    <row r="73" spans="1:9" x14ac:dyDescent="0.3">
      <c r="A73" s="281" t="s">
        <v>124</v>
      </c>
      <c r="B73" s="282"/>
      <c r="C73" s="282"/>
      <c r="D73" s="283"/>
      <c r="E73" s="283"/>
      <c r="F73" s="284"/>
    </row>
    <row r="74" spans="1:9" ht="29.25" customHeight="1" x14ac:dyDescent="0.3">
      <c r="A74" s="126"/>
      <c r="B74" s="275" t="str">
        <f>IF(A74&lt;&gt;"",IF(A74&lt;4,"The costs (in purchasing-power standards) per completed interview are very high.",IF(A74&lt;8,"The costs (in purchasing-power standards) per completed interview are rather high.",IF(A74&lt;12,"The costs (in purchasing-power standards) per completed interview are rather low.",IF(A74&lt;16,"The costs (in purchasing-power standards) per completed interview are very low.")))),"")</f>
        <v/>
      </c>
      <c r="C74" s="200"/>
      <c r="D74" s="110"/>
      <c r="E74" s="275"/>
      <c r="F74" s="276"/>
      <c r="H74" s="67">
        <f>IF(D74&lt;&gt;"",D74,A74)</f>
        <v>0</v>
      </c>
      <c r="I74" s="118" t="str">
        <f>IF(E74&lt;&gt;"",E74,B74)</f>
        <v/>
      </c>
    </row>
    <row r="75" spans="1:9" x14ac:dyDescent="0.3">
      <c r="A75" s="285" t="s">
        <v>125</v>
      </c>
      <c r="B75" s="286"/>
      <c r="C75" s="286"/>
      <c r="D75" s="286"/>
      <c r="E75" s="286"/>
      <c r="F75" s="127"/>
    </row>
    <row r="76" spans="1:9" x14ac:dyDescent="0.3">
      <c r="A76" s="285" t="s">
        <v>126</v>
      </c>
      <c r="B76" s="286"/>
      <c r="C76" s="286"/>
      <c r="D76" s="286"/>
      <c r="E76" s="286"/>
      <c r="F76" s="130"/>
    </row>
    <row r="77" spans="1:9" ht="43.8" customHeight="1" x14ac:dyDescent="0.3">
      <c r="A77" s="126" t="str">
        <f>IF(F75="no",2,IF(AND(F75="yes",F76&lt;&gt;""),0,"NA"))</f>
        <v>NA</v>
      </c>
      <c r="B77" s="275" t="str">
        <f>IF(A77=2,"The budget is exclusively composed of items which are necessary to complete the action in view of the envisaged survey implementation.",IF(A77=0,CONCATENATE("The budget contains the following item(s) which are not strictly necessary to complete the action in view of the envisaged survey implementation: ",F76,"."),""))</f>
        <v/>
      </c>
      <c r="C77" s="200"/>
      <c r="D77" s="110"/>
      <c r="E77" s="275"/>
      <c r="F77" s="276"/>
      <c r="H77" s="67" t="str">
        <f>IF(D77&lt;&gt;"",D77,A77)</f>
        <v>NA</v>
      </c>
      <c r="I77" s="118" t="str">
        <f>IF(E77&lt;&gt;"",E77,B77)</f>
        <v/>
      </c>
    </row>
    <row r="78" spans="1:9" ht="30" customHeight="1" x14ac:dyDescent="0.3">
      <c r="A78" s="281" t="s">
        <v>127</v>
      </c>
      <c r="B78" s="282"/>
      <c r="C78" s="282"/>
      <c r="D78" s="283"/>
      <c r="E78" s="283"/>
      <c r="F78" s="284"/>
    </row>
    <row r="79" spans="1:9" x14ac:dyDescent="0.3">
      <c r="A79" s="277" t="s">
        <v>128</v>
      </c>
      <c r="B79" s="278"/>
      <c r="C79" s="279"/>
      <c r="D79" s="279"/>
      <c r="E79" s="279"/>
      <c r="F79" s="125"/>
      <c r="H79" s="67" t="str">
        <f>IF(F79="yes",CONCATENATE(A79,IF(COUNTIF(H80:H92,"")&lt;13,", ","."),""),"")</f>
        <v/>
      </c>
    </row>
    <row r="80" spans="1:9" x14ac:dyDescent="0.3">
      <c r="A80" s="280" t="s">
        <v>129</v>
      </c>
      <c r="B80" s="278"/>
      <c r="C80" s="279"/>
      <c r="D80" s="279"/>
      <c r="E80" s="279"/>
      <c r="F80" s="125"/>
      <c r="H80" s="67" t="str">
        <f>IF(F80="yes",CONCATENATE(A80,IF(COUNTIF(H81:H92,"")&lt;12,", ","."),""),"")</f>
        <v/>
      </c>
    </row>
    <row r="81" spans="1:9" x14ac:dyDescent="0.3">
      <c r="A81" s="280" t="s">
        <v>141</v>
      </c>
      <c r="B81" s="278"/>
      <c r="C81" s="279"/>
      <c r="D81" s="279"/>
      <c r="E81" s="279"/>
      <c r="F81" s="125"/>
      <c r="H81" s="67" t="str">
        <f>IF(F81="yes",CONCATENATE(A81,IF(COUNTIF(H82:H92,"")&lt;11,", ","."),""),"")</f>
        <v/>
      </c>
    </row>
    <row r="82" spans="1:9" x14ac:dyDescent="0.3">
      <c r="A82" s="280" t="s">
        <v>130</v>
      </c>
      <c r="B82" s="278"/>
      <c r="C82" s="279"/>
      <c r="D82" s="279"/>
      <c r="E82" s="279"/>
      <c r="F82" s="125"/>
      <c r="H82" s="67" t="str">
        <f>IF(F82="yes",CONCATENATE(A82,IF(COUNTIF(H83:H92,"")&lt;10,", ","."),""),"")</f>
        <v/>
      </c>
    </row>
    <row r="83" spans="1:9" x14ac:dyDescent="0.3">
      <c r="A83" s="277" t="s">
        <v>131</v>
      </c>
      <c r="B83" s="278"/>
      <c r="C83" s="279"/>
      <c r="D83" s="279"/>
      <c r="E83" s="279"/>
      <c r="F83" s="125"/>
      <c r="H83" s="67" t="str">
        <f>IF(F83="yes",CONCATENATE(A83,IF(COUNTIF(H84:H92,"")&lt;9,", ","."),""),"")</f>
        <v/>
      </c>
    </row>
    <row r="84" spans="1:9" x14ac:dyDescent="0.3">
      <c r="A84" s="280" t="s">
        <v>132</v>
      </c>
      <c r="B84" s="278"/>
      <c r="C84" s="279"/>
      <c r="D84" s="279"/>
      <c r="E84" s="279"/>
      <c r="F84" s="125"/>
      <c r="H84" s="67" t="str">
        <f>IF(F84="yes",CONCATENATE(A84,IF(COUNTIF(H85:H92,"")&lt;8,", ","."),""),"")</f>
        <v/>
      </c>
    </row>
    <row r="85" spans="1:9" x14ac:dyDescent="0.3">
      <c r="A85" s="280" t="s">
        <v>133</v>
      </c>
      <c r="B85" s="278"/>
      <c r="C85" s="279"/>
      <c r="D85" s="279"/>
      <c r="E85" s="279"/>
      <c r="F85" s="125"/>
      <c r="H85" s="67" t="str">
        <f>IF(F85="yes",CONCATENATE(A85,IF(COUNTIF(H86:H92,"")&lt;7,", ","."),""),"")</f>
        <v/>
      </c>
    </row>
    <row r="86" spans="1:9" x14ac:dyDescent="0.3">
      <c r="A86" s="280" t="s">
        <v>134</v>
      </c>
      <c r="B86" s="278"/>
      <c r="C86" s="279"/>
      <c r="D86" s="279"/>
      <c r="E86" s="279"/>
      <c r="F86" s="125"/>
      <c r="H86" s="67" t="str">
        <f>IF(F86="yes",CONCATENATE(A86,IF(COUNTIF(H87:H92,"")&lt;6,", ","."),""),"")</f>
        <v/>
      </c>
    </row>
    <row r="87" spans="1:9" x14ac:dyDescent="0.3">
      <c r="A87" s="277" t="s">
        <v>135</v>
      </c>
      <c r="B87" s="278"/>
      <c r="C87" s="279"/>
      <c r="D87" s="279"/>
      <c r="E87" s="279"/>
      <c r="F87" s="125"/>
      <c r="H87" s="67" t="str">
        <f>IF(F87="yes",CONCATENATE(A87,IF(COUNTIF(H88:H92,"")&lt;5,", ","."),""),"")</f>
        <v/>
      </c>
    </row>
    <row r="88" spans="1:9" x14ac:dyDescent="0.3">
      <c r="A88" s="280" t="s">
        <v>136</v>
      </c>
      <c r="B88" s="278"/>
      <c r="C88" s="279"/>
      <c r="D88" s="279"/>
      <c r="E88" s="279"/>
      <c r="F88" s="125"/>
      <c r="H88" s="67" t="str">
        <f>IF(F88="yes",CONCATENATE(A88,IF(COUNTIF(H89:H92,"")&lt;4,", ","."),""),"")</f>
        <v/>
      </c>
    </row>
    <row r="89" spans="1:9" x14ac:dyDescent="0.3">
      <c r="A89" s="280" t="s">
        <v>137</v>
      </c>
      <c r="B89" s="278"/>
      <c r="C89" s="279"/>
      <c r="D89" s="279"/>
      <c r="E89" s="279"/>
      <c r="F89" s="125"/>
      <c r="H89" s="67" t="str">
        <f>IF(F89="yes",CONCATENATE(A89,IF(COUNTIF(H90:H92,"")&lt;3,", ","."),""),"")</f>
        <v/>
      </c>
    </row>
    <row r="90" spans="1:9" x14ac:dyDescent="0.3">
      <c r="A90" s="280" t="s">
        <v>138</v>
      </c>
      <c r="B90" s="278"/>
      <c r="C90" s="279"/>
      <c r="D90" s="279"/>
      <c r="E90" s="279"/>
      <c r="F90" s="125"/>
      <c r="H90" s="67" t="str">
        <f>IF(F90="yes",CONCATENATE(A90,IF(COUNTIF(H91:H92,"")&lt;2,", ","."),""),"")</f>
        <v/>
      </c>
    </row>
    <row r="91" spans="1:9" x14ac:dyDescent="0.3">
      <c r="A91" s="277" t="s">
        <v>139</v>
      </c>
      <c r="B91" s="278"/>
      <c r="C91" s="279"/>
      <c r="D91" s="279"/>
      <c r="E91" s="279"/>
      <c r="F91" s="125"/>
      <c r="H91" s="67" t="str">
        <f>IF(F91="yes",CONCATENATE(A91,IF(COUNTIF(H92:H92,"")&lt;1,", ","."),""),"")</f>
        <v/>
      </c>
    </row>
    <row r="92" spans="1:9" x14ac:dyDescent="0.3">
      <c r="A92" s="280" t="s">
        <v>140</v>
      </c>
      <c r="B92" s="278"/>
      <c r="C92" s="279"/>
      <c r="D92" s="279"/>
      <c r="E92" s="279"/>
      <c r="F92" s="125"/>
      <c r="H92" s="67" t="str">
        <f>IF(F92="yes",CONCATENATE(A92,"."),"")</f>
        <v/>
      </c>
    </row>
    <row r="93" spans="1:9" ht="127.35" customHeight="1" thickBot="1" x14ac:dyDescent="0.35">
      <c r="A93" s="128" t="str">
        <f>IF(OR(COUNTIF(F79:F92,"yes")&gt;0,COUNTIF(F79:F92,"no")&gt;0),IF(COUNTIF(F79:F92,"yes")&gt;0,0,3),"NA")</f>
        <v>NA</v>
      </c>
      <c r="B93" s="293" t="str">
        <f>IF(A93=3,"The different budget items are proportionate in view of the main parameters of the envisaged survey implementation.",IF(A93=0,CONCATENATE("The different budget items are not proportionate in view of the main parameters of the envisaged survey implementation. The relative share of costs dedicated to the following item(s) is rather high: 
",H79,H80,H81,H82,H83,H84,H85,H86,H87,H88,H89,H90,H91,H92),"NA"))</f>
        <v>NA</v>
      </c>
      <c r="C93" s="294"/>
      <c r="D93" s="129"/>
      <c r="E93" s="287"/>
      <c r="F93" s="288"/>
      <c r="H93" s="67" t="str">
        <f>IF(D93&lt;&gt;"",D93,A93)</f>
        <v>NA</v>
      </c>
      <c r="I93" s="118" t="str">
        <f>IF(E93&lt;&gt;"",E93,B93)</f>
        <v>NA</v>
      </c>
    </row>
    <row r="94" spans="1:9" x14ac:dyDescent="0.3">
      <c r="H94" s="67">
        <f>SUM(H74,H77,H93)</f>
        <v>0</v>
      </c>
      <c r="I94" s="118" t="str">
        <f>CONCATENATE(I74," ",I77," ",I93)</f>
        <v xml:space="preserve">  NA</v>
      </c>
    </row>
  </sheetData>
  <mergeCells count="124">
    <mergeCell ref="A92:E92"/>
    <mergeCell ref="B93:C93"/>
    <mergeCell ref="E93:F93"/>
    <mergeCell ref="A86:E86"/>
    <mergeCell ref="A87:E87"/>
    <mergeCell ref="A88:E88"/>
    <mergeCell ref="A89:E89"/>
    <mergeCell ref="A90:E90"/>
    <mergeCell ref="A91:E91"/>
    <mergeCell ref="A80:E80"/>
    <mergeCell ref="A81:E81"/>
    <mergeCell ref="A82:E82"/>
    <mergeCell ref="A83:E83"/>
    <mergeCell ref="A84:E84"/>
    <mergeCell ref="A85:E85"/>
    <mergeCell ref="A75:E75"/>
    <mergeCell ref="A76:E76"/>
    <mergeCell ref="B77:C77"/>
    <mergeCell ref="E77:F77"/>
    <mergeCell ref="A78:F78"/>
    <mergeCell ref="A79:E79"/>
    <mergeCell ref="A52:E52"/>
    <mergeCell ref="B71:C71"/>
    <mergeCell ref="E71:F71"/>
    <mergeCell ref="A73:F73"/>
    <mergeCell ref="B74:C74"/>
    <mergeCell ref="E74:F74"/>
    <mergeCell ref="A62:F62"/>
    <mergeCell ref="A63:E63"/>
    <mergeCell ref="A64:E64"/>
    <mergeCell ref="E65:F65"/>
    <mergeCell ref="B65:C65"/>
    <mergeCell ref="A69:C69"/>
    <mergeCell ref="D69:F69"/>
    <mergeCell ref="B54:C54"/>
    <mergeCell ref="E54:F54"/>
    <mergeCell ref="A53:E53"/>
    <mergeCell ref="A58:C58"/>
    <mergeCell ref="D58:F58"/>
    <mergeCell ref="B60:C60"/>
    <mergeCell ref="E60:F60"/>
    <mergeCell ref="B51:C51"/>
    <mergeCell ref="E51:F51"/>
    <mergeCell ref="A45:E45"/>
    <mergeCell ref="A46:E46"/>
    <mergeCell ref="A47:E47"/>
    <mergeCell ref="A48:E48"/>
    <mergeCell ref="B49:C49"/>
    <mergeCell ref="E49:F49"/>
    <mergeCell ref="A44:F44"/>
    <mergeCell ref="A50:E50"/>
    <mergeCell ref="B42:C42"/>
    <mergeCell ref="E42:F42"/>
    <mergeCell ref="A36:C36"/>
    <mergeCell ref="D30:F30"/>
    <mergeCell ref="E31:F31"/>
    <mergeCell ref="E32:F32"/>
    <mergeCell ref="E36:F36"/>
    <mergeCell ref="D40:F40"/>
    <mergeCell ref="B31:C31"/>
    <mergeCell ref="B32:C32"/>
    <mergeCell ref="A33:C33"/>
    <mergeCell ref="B34:C34"/>
    <mergeCell ref="A40:C40"/>
    <mergeCell ref="D33:F33"/>
    <mergeCell ref="E34:F34"/>
    <mergeCell ref="D35:F35"/>
    <mergeCell ref="A30:C30"/>
    <mergeCell ref="A35:C35"/>
    <mergeCell ref="E27:F27"/>
    <mergeCell ref="D28:F28"/>
    <mergeCell ref="E29:F29"/>
    <mergeCell ref="E22:F22"/>
    <mergeCell ref="D9:F9"/>
    <mergeCell ref="B16:C16"/>
    <mergeCell ref="A17:C17"/>
    <mergeCell ref="A21:C21"/>
    <mergeCell ref="B25:C25"/>
    <mergeCell ref="B26:C26"/>
    <mergeCell ref="B27:C27"/>
    <mergeCell ref="D24:F24"/>
    <mergeCell ref="E25:F25"/>
    <mergeCell ref="E26:F26"/>
    <mergeCell ref="A28:C28"/>
    <mergeCell ref="A29:C29"/>
    <mergeCell ref="B22:C22"/>
    <mergeCell ref="B23:C23"/>
    <mergeCell ref="D3:F3"/>
    <mergeCell ref="D4:F4"/>
    <mergeCell ref="D5:F5"/>
    <mergeCell ref="D6:F6"/>
    <mergeCell ref="E7:F7"/>
    <mergeCell ref="E23:F23"/>
    <mergeCell ref="D21:F21"/>
    <mergeCell ref="E16:F16"/>
    <mergeCell ref="D17:F17"/>
    <mergeCell ref="E8:F8"/>
    <mergeCell ref="E18:F18"/>
    <mergeCell ref="D19:F19"/>
    <mergeCell ref="E20:F20"/>
    <mergeCell ref="A3:C3"/>
    <mergeCell ref="A4:C4"/>
    <mergeCell ref="A5:C5"/>
    <mergeCell ref="A6:C6"/>
    <mergeCell ref="B7:C7"/>
    <mergeCell ref="B8:C8"/>
    <mergeCell ref="A9:C9"/>
    <mergeCell ref="A24:C24"/>
    <mergeCell ref="A1:E1"/>
    <mergeCell ref="E10:F10"/>
    <mergeCell ref="E11:F11"/>
    <mergeCell ref="E12:F12"/>
    <mergeCell ref="E13:F13"/>
    <mergeCell ref="B10:C10"/>
    <mergeCell ref="B11:C11"/>
    <mergeCell ref="D14:F14"/>
    <mergeCell ref="E15:F15"/>
    <mergeCell ref="B12:C12"/>
    <mergeCell ref="B13:C13"/>
    <mergeCell ref="A14:C14"/>
    <mergeCell ref="B15:C15"/>
    <mergeCell ref="B18:C18"/>
    <mergeCell ref="A19:C19"/>
    <mergeCell ref="B20:C20"/>
  </mergeCells>
  <conditionalFormatting sqref="A74">
    <cfRule type="expression" dxfId="0" priority="1" stopIfTrue="1">
      <formula>$A$74=""</formula>
    </cfRule>
  </conditionalFormatting>
  <dataValidations count="9">
    <dataValidation type="list" allowBlank="1" showInputMessage="1" showErrorMessage="1" sqref="F50 F45:F48 F63:F64 F75 F79:F92" xr:uid="{00000000-0002-0000-0100-000000000000}">
      <formula1>"yes, no"</formula1>
    </dataValidation>
    <dataValidation type="list" allowBlank="1" showInputMessage="1" showErrorMessage="1" sqref="D49 D51 D54" xr:uid="{00000000-0002-0000-0100-000001000000}">
      <formula1>"0, 1, 2, 3, 4, 5"</formula1>
    </dataValidation>
    <dataValidation type="list" allowBlank="1" showInputMessage="1" showErrorMessage="1" sqref="F52" xr:uid="{00000000-0002-0000-0100-000002000000}">
      <formula1>"yes (sub-contractors), yes (co-applicants), no"</formula1>
    </dataValidation>
    <dataValidation type="list" allowBlank="1" showInputMessage="1" showErrorMessage="1" sqref="F53" xr:uid="{00000000-0002-0000-0100-000003000000}">
      <formula1>"NA, yes, no"</formula1>
    </dataValidation>
    <dataValidation type="list" allowBlank="1" showInputMessage="1" showErrorMessage="1" sqref="D65" xr:uid="{00000000-0002-0000-0100-000004000000}">
      <formula1>"0, 1, 2, 3, 4, 5, 6, 7, 8, 9, 10"</formula1>
    </dataValidation>
    <dataValidation type="list" allowBlank="1" showInputMessage="1" showErrorMessage="1" sqref="D74" xr:uid="{00000000-0002-0000-0100-000005000000}">
      <formula1>"0, 1, 2, 3, 4, 5, 6, 7, 8, 9, 10, 11, 12, 13, 14, 15"</formula1>
    </dataValidation>
    <dataValidation type="list" allowBlank="1" showInputMessage="1" showErrorMessage="1" sqref="D77" xr:uid="{00000000-0002-0000-0100-000006000000}">
      <formula1>"0, 1, 2"</formula1>
    </dataValidation>
    <dataValidation type="list" allowBlank="1" showInputMessage="1" showErrorMessage="1" sqref="D93" xr:uid="{00000000-0002-0000-0100-000007000000}">
      <formula1>"0, 1, 2, 3"</formula1>
    </dataValidation>
    <dataValidation type="list" allowBlank="1" showInputMessage="1" showErrorMessage="1" sqref="A74" xr:uid="{00000000-0002-0000-0100-000008000000}">
      <formula1>"1, 2, 3, 4, 5, 6, 7, 8, 9, 10, 11, 12, 13, 14, 15"</formula1>
    </dataValidation>
  </dataValidations>
  <pageMargins left="0.70866141732283472" right="0.70866141732283472" top="0.74803149606299213" bottom="0.74803149606299213" header="0.31496062992125984" footer="0.31496062992125984"/>
  <pageSetup paperSize="9" scale="46" fitToHeight="0" orientation="portrait" r:id="rId1"/>
  <headerFooter>
    <oddHeader xml:space="preserve">&amp;C
</oddHeader>
  </headerFooter>
  <rowBreaks count="3" manualBreakCount="3">
    <brk id="36" max="5" man="1"/>
    <brk id="54" max="5" man="1"/>
    <brk id="6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1"/>
  <sheetViews>
    <sheetView topLeftCell="A37" zoomScale="70" zoomScaleNormal="70" workbookViewId="0">
      <selection activeCell="D23" sqref="D23:E28"/>
    </sheetView>
  </sheetViews>
  <sheetFormatPr defaultRowHeight="14.4" x14ac:dyDescent="0.3"/>
  <cols>
    <col min="1" max="1" width="12.5546875" customWidth="1"/>
    <col min="2" max="2" width="136.44140625" customWidth="1"/>
    <col min="3" max="5" width="9.21875" customWidth="1"/>
    <col min="6" max="6" width="9.21875" style="64" customWidth="1"/>
  </cols>
  <sheetData>
    <row r="1" spans="1:7" ht="21" x14ac:dyDescent="0.3">
      <c r="A1" s="301" t="str">
        <f>CONCATENATE('Consumer Survey'!B5," - ", "(",'Consumer Survey'!B7, ")")</f>
        <v xml:space="preserve"> - ()</v>
      </c>
      <c r="B1" s="302"/>
    </row>
    <row r="2" spans="1:7" ht="34.5" customHeight="1" x14ac:dyDescent="0.3">
      <c r="A2" s="303" t="str">
        <f>CONCATENATE('Consumer Survey'!B6," survey")</f>
        <v>Consumer survey</v>
      </c>
      <c r="B2" s="304"/>
    </row>
    <row r="3" spans="1:7" ht="27.6" customHeight="1" x14ac:dyDescent="0.3">
      <c r="A3" s="305" t="s">
        <v>95</v>
      </c>
      <c r="B3" s="306"/>
    </row>
    <row r="4" spans="1:7" s="64" customFormat="1" ht="28.35" customHeight="1" x14ac:dyDescent="0.3">
      <c r="A4" s="84"/>
      <c r="B4" s="85" t="e">
        <f>CONCATENATE("Total points: ",SUM(_xlfn.NUMBERVALUE(LEFT(A7,2)),_xlfn.NUMBERVALUE(LEFT(A8,2)),_xlfn.NUMBERVALUE(LEFT(A10,2)),_xlfn.NUMBERVALUE(LEFT(A9,2)),_xlfn.NUMBERVALUE(LEFT(A12,2)),_xlfn.NUMBERVALUE(LEFT(A13,2)),_xlfn.NUMBERVALUE(LEFT(A28,2)),_xlfn.NUMBERVALUE(LEFT(A29,2)),_xlfn.NUMBERVALUE(LEFT(A15,2)),_xlfn.NUMBERVALUE(LEFT(A17,2)),_xlfn.NUMBERVALUE(LEFT(A19,2)),_xlfn.NUMBERVALUE(LEFT(A20,2)),_xlfn.NUMBERVALUE(LEFT(A22,2)),_xlfn.NUMBERVALUE(LEFT(A23,2)),_xlfn.NUMBERVALUE(LEFT(A24,2)),_xlfn.NUMBERVALUE(LEFT(A26,2)),_xlfn.NUMBERVALUE(LEFT(A31,2)),_xlfn.NUMBERVALUE(LEFT(A33,2)))," / 60")</f>
        <v>#VALUE!</v>
      </c>
    </row>
    <row r="5" spans="1:7" s="64" customFormat="1" ht="10.050000000000001" customHeight="1" x14ac:dyDescent="0.3">
      <c r="A5" s="307"/>
      <c r="B5" s="308"/>
    </row>
    <row r="6" spans="1:7" ht="46.5" customHeight="1" x14ac:dyDescent="0.3">
      <c r="A6" s="297" t="s">
        <v>84</v>
      </c>
      <c r="B6" s="298"/>
    </row>
    <row r="7" spans="1:7" ht="31.5" customHeight="1" x14ac:dyDescent="0.3">
      <c r="A7" s="71" t="str">
        <f>IF(AND('Consumer Survey'!F12="",'Consumer Survey'!G12=""),'Consumer Survey'!D12,IF(AND('Consumer Survey'!F12&lt;&gt;"",'Consumer Survey'!G12&lt;&gt;""),CONCATENATE('Consumer Survey'!F12," / 4"),"ERROR!"))</f>
        <v>NA</v>
      </c>
      <c r="B7" s="91" t="str">
        <f>IF(AND('Consumer Survey'!F12="",'Consumer Survey'!G12=""),'Consumer Survey'!E12,IF(AND('Consumer Survey'!F12&lt;&gt;"",'Consumer Survey'!G12&lt;&gt;""),'Consumer Survey'!G12,"ERROR!"))</f>
        <v>Questionnaire incomplete. Not possible to evaluate quality of the frame.</v>
      </c>
    </row>
    <row r="8" spans="1:7" ht="31.5" customHeight="1" x14ac:dyDescent="0.3">
      <c r="A8" s="71" t="str">
        <f>IF(AND('Consumer Survey'!F15="",'Consumer Survey'!G15=""),'Consumer Survey'!D15,IF(AND('Consumer Survey'!F15&lt;&gt;"",'Consumer Survey'!G15&lt;&gt;""),CONCATENATE('Consumer Survey'!F15," / 2"),"ERROR!"))</f>
        <v>NA</v>
      </c>
      <c r="B8" s="91" t="str">
        <f>IF(AND('Consumer Survey'!F15="",'Consumer Survey'!G15=""),'Consumer Survey'!E15,IF(AND('Consumer Survey'!F15&lt;&gt;"",'Consumer Survey'!G15&lt;&gt;""),'Consumer Survey'!G15,"ERROR!"))</f>
        <v>Questionnaire incomplete. Not possible to assess if frame population is adequate.</v>
      </c>
    </row>
    <row r="9" spans="1:7" ht="31.5" customHeight="1" x14ac:dyDescent="0.3">
      <c r="A9" s="71" t="str">
        <f>IF(AND('Consumer Survey'!F22="",'Consumer Survey'!G22=""),'Consumer Survey'!D22,IF(AND('Consumer Survey'!F22&lt;&gt;"",'Consumer Survey'!G22&lt;&gt;""),CONCATENATE('Consumer Survey'!F22," / 2"),"ERROR!"))</f>
        <v>NA</v>
      </c>
      <c r="B9" s="91" t="str">
        <f>IF(AND('Consumer Survey'!F22="",'Consumer Survey'!G22=""),'Consumer Survey'!E22,IF(AND('Consumer Survey'!F22&lt;&gt;"",'Consumer Survey'!G22&lt;&gt;""),'Consumer Survey'!G22,"ERROR!"))</f>
        <v>Questionnaire incomplete. Not possible to assess the updating frequency of the frame.</v>
      </c>
    </row>
    <row r="10" spans="1:7" ht="31.5" customHeight="1" x14ac:dyDescent="0.3">
      <c r="A10" s="71" t="str">
        <f>IF(AND('Consumer Survey'!F16="",'Consumer Survey'!G16=""),'Consumer Survey'!D16,IF(AND('Consumer Survey'!F16&lt;&gt;"",'Consumer Survey'!G16&lt;&gt;""),CONCATENATE('Consumer Survey'!F16," / 2"),"ERROR!"))</f>
        <v>NA</v>
      </c>
      <c r="B10" s="91" t="str">
        <f>IF(AND('Consumer Survey'!F16="",'Consumer Survey'!G16=""),'Consumer Survey'!E16,IF(AND('Consumer Survey'!F16&lt;&gt;"",'Consumer Survey'!G16&lt;&gt;""),'Consumer Survey'!G16,"ERROR!"))</f>
        <v>Questionnaire incomplete. Not possible to assess whether frame limitation is applied.</v>
      </c>
    </row>
    <row r="11" spans="1:7" ht="46.5" customHeight="1" x14ac:dyDescent="0.3">
      <c r="A11" s="297" t="s">
        <v>85</v>
      </c>
      <c r="B11" s="298"/>
    </row>
    <row r="12" spans="1:7" ht="31.5" customHeight="1" x14ac:dyDescent="0.3">
      <c r="A12" s="71" t="str">
        <f>IF(AND('Consumer Survey'!F30="",'Consumer Survey'!G30=""),'Consumer Survey'!D30,IF(AND('Consumer Survey'!F30&lt;&gt;"",'Consumer Survey'!G30&lt;&gt;""),CONCATENATE('Consumer Survey'!F30," / 6"),"ERROR!"))</f>
        <v>NA</v>
      </c>
      <c r="B12" s="91" t="str">
        <f>IF(AND('Consumer Survey'!F30="",'Consumer Survey'!G30=""),'Consumer Survey'!E30,IF(AND('Consumer Survey'!F30&lt;&gt;"",'Consumer Survey'!G30&lt;&gt;""),'Consumer Survey'!G30,"ERROR!"))</f>
        <v>Questionnaire incomplete. Not possible to assess the sampling method.</v>
      </c>
      <c r="F12" s="92"/>
      <c r="G12" s="93"/>
    </row>
    <row r="13" spans="1:7" ht="31.5" customHeight="1" x14ac:dyDescent="0.3">
      <c r="A13" s="71" t="str">
        <f>IF(AND('Consumer Survey'!F35="",'Consumer Survey'!G35=""),'Consumer Survey'!D35,IF(AND('Consumer Survey'!F35&lt;&gt;"",'Consumer Survey'!G35&lt;&gt;""),CONCATENATE('Consumer Survey'!F35," / 4"),"ERROR!"))</f>
        <v>NA</v>
      </c>
      <c r="B13" s="91" t="str">
        <f>IF(AND('Consumer Survey'!F35="",'Consumer Survey'!G35=""),'Consumer Survey'!E35,IF(AND('Consumer Survey'!F35&lt;&gt;"",'Consumer Survey'!G35&lt;&gt;""),'Consumer Survey'!G35,"ERROR!"))</f>
        <v>No info if stratification is applied.</v>
      </c>
    </row>
    <row r="14" spans="1:7" ht="46.5" customHeight="1" x14ac:dyDescent="0.3">
      <c r="A14" s="297" t="s">
        <v>86</v>
      </c>
      <c r="B14" s="298"/>
    </row>
    <row r="15" spans="1:7" ht="31.5" customHeight="1" x14ac:dyDescent="0.3">
      <c r="A15" s="94" t="str">
        <f>IF(AND('Consumer Survey'!F86="",'Consumer Survey'!G86=""),'Consumer Survey'!D86,IF(AND('Consumer Survey'!F86&lt;&gt;"",'Consumer Survey'!G86&lt;&gt;""),CONCATENATE('Consumer Survey'!F86," / 12"),"ERROR!"))</f>
        <v>NA</v>
      </c>
      <c r="B15" s="91" t="e">
        <f>IF(AND('Consumer Survey'!F86="",'Consumer Survey'!G86=""),'Consumer Survey'!E86,IF(AND('Consumer Survey'!F86&lt;&gt;"",'Consumer Survey'!G86&lt;&gt;""),'Consumer Survey'!G86,"ERROR!"))</f>
        <v>#VALUE!</v>
      </c>
    </row>
    <row r="16" spans="1:7" ht="46.5" customHeight="1" x14ac:dyDescent="0.3">
      <c r="A16" s="295" t="s">
        <v>87</v>
      </c>
      <c r="B16" s="296"/>
    </row>
    <row r="17" spans="1:2" ht="31.5" customHeight="1" x14ac:dyDescent="0.3">
      <c r="A17" s="94" t="str">
        <f>IF(AND('Consumer Survey'!F87="",'Consumer Survey'!G87=""),'Consumer Survey'!D87,IF(AND('Consumer Survey'!F87&lt;&gt;"",'Consumer Survey'!G87&lt;&gt;""),CONCATENATE('Consumer Survey'!F87," / 4"),"ERROR!"))</f>
        <v>NA</v>
      </c>
      <c r="B17" s="91" t="e">
        <f>IF(AND('Consumer Survey'!F87="",'Consumer Survey'!G87=""),'Consumer Survey'!E87,IF(AND('Consumer Survey'!F87&lt;&gt;"",'Consumer Survey'!G87&lt;&gt;""),'Consumer Survey'!G87,"ERROR!"))</f>
        <v>#VALUE!</v>
      </c>
    </row>
    <row r="18" spans="1:2" ht="46.5" customHeight="1" x14ac:dyDescent="0.3">
      <c r="A18" s="297" t="s">
        <v>88</v>
      </c>
      <c r="B18" s="298"/>
    </row>
    <row r="19" spans="1:2" ht="31.5" customHeight="1" x14ac:dyDescent="0.3">
      <c r="A19" s="71" t="str">
        <f>IF(AND('Consumer Survey'!F99="",'Consumer Survey'!G99=""),'Consumer Survey'!D99,IF(AND('Consumer Survey'!F99&lt;&gt;"",'Consumer Survey'!G99&lt;&gt;""),CONCATENATE('Consumer Survey'!F99," / 5"),"ERROR!"))</f>
        <v>NA</v>
      </c>
      <c r="B19" s="91" t="str">
        <f>IF(AND('Consumer Survey'!F99="",'Consumer Survey'!G99=""),'Consumer Survey'!E99,IF(AND('Consumer Survey'!F99&lt;&gt;"",'Consumer Survey'!G99&lt;&gt;""),'Consumer Survey'!G99,"ERROR!"))</f>
        <v>Questionnaire incomplete. Not possible to allocate points for the survey mode applied.</v>
      </c>
    </row>
    <row r="20" spans="1:2" ht="31.5" customHeight="1" x14ac:dyDescent="0.3">
      <c r="A20" s="71" t="str">
        <f>IF(AND('Consumer Survey'!F101="",'Consumer Survey'!G101=""),'Consumer Survey'!D101,IF(AND('Consumer Survey'!F101&lt;&gt;"",'Consumer Survey'!G101&lt;&gt;""),CONCATENATE('Consumer Survey'!F101," / 1"),"ERROR!"))</f>
        <v>NA</v>
      </c>
      <c r="B20" s="91" t="str">
        <f>IF(AND('Consumer Survey'!F101="",'Consumer Survey'!G101=""),'Consumer Survey'!E101,IF(AND('Consumer Survey'!F101&lt;&gt;"",'Consumer Survey'!G101&lt;&gt;""),'Consumer Survey'!G101,"ERROR!"))</f>
        <v>No information on survey mode supplied. Therefore, no points can be allocated for making potential interviewers' wages performance-dependent.</v>
      </c>
    </row>
    <row r="21" spans="1:2" ht="46.5" customHeight="1" x14ac:dyDescent="0.3">
      <c r="A21" s="297" t="s">
        <v>89</v>
      </c>
      <c r="B21" s="298"/>
    </row>
    <row r="22" spans="1:2" ht="31.5" customHeight="1" x14ac:dyDescent="0.3">
      <c r="A22" s="71" t="str">
        <f>IF(AND('Consumer Survey'!F110="",'Consumer Survey'!G110=""),'Consumer Survey'!D110,IF(AND('Consumer Survey'!F110&lt;&gt;"",'Consumer Survey'!G110&lt;&gt;""),CONCATENATE('Consumer Survey'!F110," / 1"),"ERROR!"))</f>
        <v>NA</v>
      </c>
      <c r="B22" s="91" t="str">
        <f>IF(AND('Consumer Survey'!F110="",'Consumer Survey'!G110=""),'Consumer Survey'!E110,IF(AND('Consumer Survey'!F110&lt;&gt;"",'Consumer Survey'!G110&lt;&gt;""),'Consumer Survey'!G110,"ERROR!"))</f>
        <v>Questionnaire incomplete. Not possible to allocate points for taking response-rate enhacing measures prior to conducting survey.</v>
      </c>
    </row>
    <row r="23" spans="1:2" ht="31.5" customHeight="1" x14ac:dyDescent="0.3">
      <c r="A23" s="71" t="str">
        <f>IF(AND('Consumer Survey'!F116="",'Consumer Survey'!G116=""),'Consumer Survey'!D116,IF(AND('Consumer Survey'!F116&lt;&gt;"",'Consumer Survey'!G116&lt;&gt;""),CONCATENATE('Consumer Survey'!F116," / 1"),"ERROR!"))</f>
        <v>NA</v>
      </c>
      <c r="B23" s="91" t="str">
        <f>IF(AND('Consumer Survey'!F116="",'Consumer Survey'!G116=""),'Consumer Survey'!E116,IF(AND('Consumer Survey'!F116&lt;&gt;"",'Consumer Survey'!G116&lt;&gt;""),'Consumer Survey'!G116,"ERROR!"))</f>
        <v>Questionnaire incomplete. Not possible to allocate points for taking response-rate enhacing measures conditional on participation in the survey.</v>
      </c>
    </row>
    <row r="24" spans="1:2" ht="31.5" customHeight="1" x14ac:dyDescent="0.3">
      <c r="A24" s="71" t="str">
        <f>IF(AND('Consumer Survey'!F120="",'Consumer Survey'!G120=""),'Consumer Survey'!D120,IF(AND('Consumer Survey'!F120&lt;&gt;"",'Consumer Survey'!G120&lt;&gt;""),CONCATENATE('Consumer Survey'!F120," / 1"),"ERROR!"))</f>
        <v>NA</v>
      </c>
      <c r="B24" s="91" t="str">
        <f>IF(AND('Consumer Survey'!F120="",'Consumer Survey'!G120=""),'Consumer Survey'!E120,IF(AND('Consumer Survey'!F120&lt;&gt;"",'Consumer Survey'!G120&lt;&gt;""),'Consumer Survey'!G120,"ERROR!"))</f>
        <v>Questionnaire incomplete. Not possible to allocate points for taking response-rate enhacing measures after first attempt to contact respondents.</v>
      </c>
    </row>
    <row r="25" spans="1:2" ht="46.5" customHeight="1" x14ac:dyDescent="0.3">
      <c r="A25" s="297" t="s">
        <v>90</v>
      </c>
      <c r="B25" s="298"/>
    </row>
    <row r="26" spans="1:2" ht="31.5" customHeight="1" x14ac:dyDescent="0.3">
      <c r="A26" s="71" t="str">
        <f>IF(AND('Consumer Survey'!F137&lt;&gt;"",'Consumer Survey'!G137&lt;&gt;""),CONCATENATE('Consumer Survey'!F137," / 3"),"ERROR!")</f>
        <v>ERROR!</v>
      </c>
      <c r="B26" s="90" t="str">
        <f>IF(AND('Consumer Survey'!F137&lt;&gt;"",'Consumer Survey'!G137&lt;&gt;""),'Consumer Survey'!G137,"ERROR!")</f>
        <v>ERROR!</v>
      </c>
    </row>
    <row r="27" spans="1:2" ht="46.5" customHeight="1" x14ac:dyDescent="0.3">
      <c r="A27" s="297" t="s">
        <v>91</v>
      </c>
      <c r="B27" s="298"/>
    </row>
    <row r="28" spans="1:2" ht="31.5" customHeight="1" x14ac:dyDescent="0.3">
      <c r="A28" s="71" t="str">
        <f>IF(AND('Consumer Survey'!F53="",'Consumer Survey'!G53=""),'Consumer Survey'!D53,IF(AND('Consumer Survey'!F53&lt;&gt;"",'Consumer Survey'!G53&lt;&gt;""),CONCATENATE('Consumer Survey'!F53," / 4"),"ERROR!"))</f>
        <v>NA</v>
      </c>
      <c r="B28" s="91" t="str">
        <f>IF(AND('Consumer Survey'!F53="",'Consumer Survey'!G53=""),'Consumer Survey'!E53,IF(AND('Consumer Survey'!F53&lt;&gt;"",'Consumer Survey'!G53&lt;&gt;""),'Consumer Survey'!G53,"ERROR!"))</f>
        <v>Incomplete questionnaire. It is not stated whether weighting system will be applied or not.</v>
      </c>
    </row>
    <row r="29" spans="1:2" ht="31.5" customHeight="1" x14ac:dyDescent="0.3">
      <c r="A29" s="71" t="str">
        <f>IF(AND('Consumer Survey'!F56="",'Consumer Survey'!G56=""),'Consumer Survey'!D56,IF(AND('Consumer Survey'!F56&lt;&gt;"",'Consumer Survey'!G56&lt;&gt;""),CONCATENATE('Consumer Survey'!F56," / 2"),"ERROR!"))</f>
        <v>NA</v>
      </c>
      <c r="B29" s="91" t="str">
        <f>IF(AND('Consumer Survey'!F56="",'Consumer Survey'!G56=""),'Consumer Survey'!E56,IF(AND('Consumer Survey'!F56&lt;&gt;"",'Consumer Survey'!G56&lt;&gt;""),'Consumer Survey'!G56,"ERROR!"))</f>
        <v>Incomplete questionnaire. Not possible to allocate weights for regular updating of weights.</v>
      </c>
    </row>
    <row r="30" spans="1:2" ht="46.5" customHeight="1" x14ac:dyDescent="0.3">
      <c r="A30" s="297" t="s">
        <v>92</v>
      </c>
      <c r="B30" s="298"/>
    </row>
    <row r="31" spans="1:2" ht="31.5" customHeight="1" x14ac:dyDescent="0.3">
      <c r="A31" s="71" t="str">
        <f>IF(AND('Consumer Survey'!F141="",'Consumer Survey'!G141=""),'Consumer Survey'!D141,IF(AND('Consumer Survey'!F141&lt;&gt;"",'Consumer Survey'!G141&lt;&gt;""),CONCATENATE('Consumer Survey'!F141," / 3"),"ERROR!"))</f>
        <v>NA</v>
      </c>
      <c r="B31" s="91" t="str">
        <f>IF(AND('Consumer Survey'!F141="",'Consumer Survey'!G141=""),'Consumer Survey'!E141,IF(AND('Consumer Survey'!F141&lt;&gt;"",'Consumer Survey'!G141&lt;&gt;""),'Consumer Survey'!G141,"ERROR!"))</f>
        <v>Questionnaire incomplete.</v>
      </c>
    </row>
    <row r="32" spans="1:2" ht="46.5" customHeight="1" x14ac:dyDescent="0.3">
      <c r="A32" s="297" t="s">
        <v>94</v>
      </c>
      <c r="B32" s="298"/>
    </row>
    <row r="33" spans="1:2" ht="31.5" customHeight="1" x14ac:dyDescent="0.3">
      <c r="A33" s="71" t="str">
        <f>IF(AND('Consumer Survey'!F147&lt;&gt;"",'Consumer Survey'!G147&lt;&gt;""),CONCATENATE('Consumer Survey'!F147," / 3"),"ERROR!")</f>
        <v>ERROR!</v>
      </c>
      <c r="B33" s="91" t="str">
        <f>IF(AND('Consumer Survey'!F147&lt;&gt;"",'Consumer Survey'!G147&lt;&gt;""),'Consumer Survey'!G147,"ERROR!")</f>
        <v>ERROR!</v>
      </c>
    </row>
    <row r="34" spans="1:2" ht="10.050000000000001" customHeight="1" x14ac:dyDescent="0.3">
      <c r="A34" s="64"/>
      <c r="B34" s="64"/>
    </row>
    <row r="35" spans="1:2" ht="46.5" customHeight="1" x14ac:dyDescent="0.3">
      <c r="A35" s="299" t="s">
        <v>96</v>
      </c>
      <c r="B35" s="300"/>
    </row>
    <row r="36" spans="1:2" ht="23.4" x14ac:dyDescent="0.3">
      <c r="A36" s="84"/>
      <c r="B36" s="85" t="str">
        <f>CONCATENATE("Total points: ",A38)</f>
        <v>Total points: 0 / 10</v>
      </c>
    </row>
    <row r="37" spans="1:2" ht="10.050000000000001" customHeight="1" x14ac:dyDescent="0.3">
      <c r="A37" s="307"/>
      <c r="B37" s="308"/>
    </row>
    <row r="38" spans="1:2" ht="62.1" customHeight="1" x14ac:dyDescent="0.3">
      <c r="A38" s="83" t="str">
        <f>CONCATENATE(evaluation_internal!H55," / 10")</f>
        <v>0 / 10</v>
      </c>
      <c r="B38" s="117" t="str">
        <f>evaluation_internal!I55</f>
        <v xml:space="preserve">  </v>
      </c>
    </row>
    <row r="39" spans="1:2" ht="10.050000000000001" customHeight="1" x14ac:dyDescent="0.3"/>
    <row r="40" spans="1:2" ht="45.75" customHeight="1" x14ac:dyDescent="0.3">
      <c r="A40" s="305" t="s">
        <v>97</v>
      </c>
      <c r="B40" s="306"/>
    </row>
    <row r="41" spans="1:2" ht="23.4" x14ac:dyDescent="0.3">
      <c r="A41" s="84"/>
      <c r="B41" s="85" t="str">
        <f>CONCATENATE("Total points: ",A43)</f>
        <v>Total points: NA / 10</v>
      </c>
    </row>
    <row r="42" spans="1:2" ht="10.050000000000001" customHeight="1" x14ac:dyDescent="0.3">
      <c r="A42" s="307"/>
      <c r="B42" s="308"/>
    </row>
    <row r="43" spans="1:2" ht="60" customHeight="1" x14ac:dyDescent="0.3">
      <c r="A43" s="83" t="str">
        <f>CONCATENATE(evaluation_internal!H65, " / 10")</f>
        <v>NA / 10</v>
      </c>
      <c r="B43" s="117" t="str">
        <f>evaluation_internal!I65</f>
        <v/>
      </c>
    </row>
    <row r="44" spans="1:2" ht="10.050000000000001" customHeight="1" x14ac:dyDescent="0.3"/>
    <row r="45" spans="1:2" ht="45.75" customHeight="1" x14ac:dyDescent="0.3">
      <c r="A45" s="305" t="s">
        <v>98</v>
      </c>
      <c r="B45" s="306"/>
    </row>
    <row r="46" spans="1:2" ht="23.4" x14ac:dyDescent="0.3">
      <c r="A46" s="84"/>
      <c r="B46" s="85" t="str">
        <f>CONCATENATE("Total points: ",A48)</f>
        <v>Total points: 0 / 20</v>
      </c>
    </row>
    <row r="47" spans="1:2" ht="10.050000000000001" customHeight="1" x14ac:dyDescent="0.3">
      <c r="A47" s="307"/>
      <c r="B47" s="308"/>
    </row>
    <row r="48" spans="1:2" ht="60.6" customHeight="1" x14ac:dyDescent="0.3">
      <c r="A48" s="83" t="str">
        <f>CONCATENATE(evaluation_internal!H94, " / 20")</f>
        <v>0 / 20</v>
      </c>
      <c r="B48" s="117" t="str">
        <f>evaluation_internal!I94</f>
        <v xml:space="preserve">  NA</v>
      </c>
    </row>
    <row r="49" spans="1:6" s="89" customFormat="1" ht="10.050000000000001" customHeight="1" x14ac:dyDescent="0.3">
      <c r="A49" s="87"/>
      <c r="B49" s="88"/>
      <c r="F49" s="57"/>
    </row>
    <row r="50" spans="1:6" ht="23.4" x14ac:dyDescent="0.3">
      <c r="A50" s="309" t="s">
        <v>73</v>
      </c>
      <c r="B50" s="306"/>
    </row>
    <row r="51" spans="1:6" ht="23.4" x14ac:dyDescent="0.3">
      <c r="A51" s="84"/>
      <c r="B51" s="85" t="e">
        <f>CONCATENATE("Total points: ",SUM(_xlfn.NUMBERVALUE(LEFT(A7,2)),_xlfn.NUMBERVALUE(LEFT(A8,2)),_xlfn.NUMBERVALUE(LEFT(A10,2)),_xlfn.NUMBERVALUE(LEFT(A9,2)),_xlfn.NUMBERVALUE(LEFT(A12,2)),_xlfn.NUMBERVALUE(LEFT(A13,2)),_xlfn.NUMBERVALUE(LEFT(A28,2)),_xlfn.NUMBERVALUE(LEFT(A29,2)),_xlfn.NUMBERVALUE(LEFT(A15,2)),_xlfn.NUMBERVALUE(LEFT(A17,2)),_xlfn.NUMBERVALUE(LEFT(A19,2)),_xlfn.NUMBERVALUE(LEFT(A20,2)),_xlfn.NUMBERVALUE(LEFT(A22,2)),_xlfn.NUMBERVALUE(LEFT(A23,2)),_xlfn.NUMBERVALUE(LEFT(A24,2)),_xlfn.NUMBERVALUE(LEFT(A26,2)),_xlfn.NUMBERVALUE(LEFT(A31,2)),_xlfn.NUMBERVALUE(LEFT(A33,2)),_xlfn.NUMBERVALUE(LEFT(A38,2)),_xlfn.NUMBERVALUE(LEFT(A43,2)),_xlfn.NUMBERVALUE(LEFT(A48,2)),)," / 100")</f>
        <v>#VALUE!</v>
      </c>
    </row>
  </sheetData>
  <dataConsolidate/>
  <mergeCells count="21">
    <mergeCell ref="A50:B50"/>
    <mergeCell ref="A32:B32"/>
    <mergeCell ref="A42:B42"/>
    <mergeCell ref="A45:B45"/>
    <mergeCell ref="A40:B40"/>
    <mergeCell ref="A47:B47"/>
    <mergeCell ref="A37:B37"/>
    <mergeCell ref="A16:B16"/>
    <mergeCell ref="A14:B14"/>
    <mergeCell ref="A35:B35"/>
    <mergeCell ref="A1:B1"/>
    <mergeCell ref="A2:B2"/>
    <mergeCell ref="A18:B18"/>
    <mergeCell ref="A21:B21"/>
    <mergeCell ref="A30:B30"/>
    <mergeCell ref="A25:B25"/>
    <mergeCell ref="A3:B3"/>
    <mergeCell ref="A5:B5"/>
    <mergeCell ref="A27:B27"/>
    <mergeCell ref="A6:B6"/>
    <mergeCell ref="A11:B11"/>
  </mergeCells>
  <pageMargins left="0.7" right="0.7" top="0.75" bottom="0.75" header="0.3" footer="0.3"/>
  <pageSetup paperSize="9" scale="45" orientation="portrait" r:id="rId1"/>
  <headerFooter>
    <oddHeader xml:space="preserve">&amp;C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Comments xmlns="1e866f1f-0b21-41dc-b9cb-81167115ab19" xsi:nil="true"/>
    <DocPublProtocol xmlns="1e866f1f-0b21-41dc-b9cb-81167115ab19">TPL2-2 Programme tpl - Application forms, etc</DocPublProtocol>
    <DocStatus xmlns="1e866f1f-0b21-41dc-b9cb-81167115ab19">Ready</DocStatus>
    <DocInternalExternal xmlns="1e866f1f-0b21-41dc-b9cb-81167115ab19">Internal &amp; external</DocInternalExternal>
    <ProgrCategory xmlns="1e866f1f-0b21-41dc-b9cb-81167115ab19">3. Customised reports &amp; forms</ProgrCategory>
    <ProgrGroup xmlns="1e866f1f-0b21-41dc-b9cb-81167115ab19">15a BUSINESS CONSUMER SURVEYS (BCS)</ProgrGroup>
    <ITcomments xmlns="1e866f1f-0b21-41dc-b9cb-81167115ab19" xsi:nil="true"/>
    <ITstatus xmlns="1e866f1f-0b21-41dc-b9cb-81167115ab19" xsi:nil="true"/>
    <Order1 xmlns="1e866f1f-0b21-41dc-b9cb-81167115ab19">4</Order1>
  </documentManagement>
</p:properties>
</file>

<file path=customXml/item2.xml><?xml version="1.0" encoding="utf-8"?>
<ct:contentTypeSchema xmlns:ct="http://schemas.microsoft.com/office/2006/metadata/contentType" xmlns:ma="http://schemas.microsoft.com/office/2006/metadata/properties/metaAttributes" ct:_="" ma:_="" ma:contentTypeName="EC Document" ma:contentTypeID="0x010100A8C0FE432B00E948BF17A18F874DA90A00D7277BFB522B774B92A9E609239131CC" ma:contentTypeVersion="34" ma:contentTypeDescription="Create a new document in this library." ma:contentTypeScope="" ma:versionID="cd263a25f00285ba3bb70935ed10e29c">
  <xsd:schema xmlns:xsd="http://www.w3.org/2001/XMLSchema" xmlns:xs="http://www.w3.org/2001/XMLSchema" xmlns:p="http://schemas.microsoft.com/office/2006/metadata/properties" xmlns:ns2="1e866f1f-0b21-41dc-b9cb-81167115ab19" xmlns:ns4="c1c27a6f-3295-4d53-88f7-dc2956bf7014" targetNamespace="http://schemas.microsoft.com/office/2006/metadata/properties" ma:root="true" ma:fieldsID="2f37c44bab351e702ab7551e922d8368" ns2:_="" ns4:_="">
    <xsd:import namespace="1e866f1f-0b21-41dc-b9cb-81167115ab19"/>
    <xsd:import namespace="c1c27a6f-3295-4d53-88f7-dc2956bf7014"/>
    <xsd:element name="properties">
      <xsd:complexType>
        <xsd:sequence>
          <xsd:element name="documentManagement">
            <xsd:complexType>
              <xsd:all>
                <xsd:element ref="ns2:ProgrGroup" minOccurs="0"/>
                <xsd:element ref="ns2:ProgrCategory" minOccurs="0"/>
                <xsd:element ref="ns2:Order1" minOccurs="0"/>
                <xsd:element ref="ns2:DocComments" minOccurs="0"/>
                <xsd:element ref="ns2:DocStatus" minOccurs="0"/>
                <xsd:element ref="ns2:DocPublProtocol" minOccurs="0"/>
                <xsd:element ref="ns2:DocInternalExternal" minOccurs="0"/>
                <xsd:element ref="ns2:ITcomments" minOccurs="0"/>
                <xsd:element ref="ns2:ITstatus" minOccurs="0"/>
                <xsd:element ref="ns2:SharedWithUsers" minOccurs="0"/>
                <xsd:element ref="ns2:SharedWithDetails"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66f1f-0b21-41dc-b9cb-81167115ab19" elementFormDefault="qualified">
    <xsd:import namespace="http://schemas.microsoft.com/office/2006/documentManagement/types"/>
    <xsd:import namespace="http://schemas.microsoft.com/office/infopath/2007/PartnerControls"/>
    <xsd:element name="ProgrGroup" ma:index="1" nillable="true" ma:displayName="Programme Docs Group" ma:description="Needed for MGAs &amp; Programme Documents (MFF 2021-2027)" ma:format="Dropdown" ma:internalName="ProgrGroup" ma:readOnly="false">
      <xsd:simpleType>
        <xsd:union memberTypes="dms:Text">
          <xsd:simpleType>
            <xsd:restriction base="dms:Choice">
              <xsd:enumeration value="00 CORPORATE MASTERFILES"/>
              <xsd:enumeration value="00 HEALTHCHECKS"/>
              <xsd:enumeration value="01 HORIZON and EURATOM"/>
              <xsd:enumeration value="02 RFCS"/>
              <xsd:enumeration value="03 DIGITAL EUROPE (DEP)"/>
              <xsd:enumeration value="04 DEFENCE (EDF, ASAP and EDIRPA)"/>
              <xsd:enumeration value="05 SPACE"/>
              <xsd:enumeration value="06 CEF"/>
              <xsd:enumeration value="07 I3"/>
              <xsd:enumeration value="07a ERDF-TA"/>
              <xsd:enumeration value="08 IMREG"/>
              <xsd:enumeration value="09 LIFE"/>
              <xsd:enumeration value="10 INNOVFUND"/>
              <xsd:enumeration value="11 RENEWFM"/>
              <xsd:enumeration value="11a JTM"/>
              <xsd:enumeration value="12 EMFAF"/>
              <xsd:enumeration value="13 AGRIP"/>
              <xsd:enumeration value="14 IMCAP"/>
              <xsd:enumeration value="15 SINGLE MARKET (SMP)"/>
              <xsd:enumeration value="15a BUSINESS CONSUMER SURVEYS (BCS)"/>
              <xsd:enumeration value="16 ERASMUS"/>
              <xsd:enumeration value="17 CREATIVE EUROPE"/>
              <xsd:enumeration value="18 EUROPEAN SOLIDARITY CORPS (ESC)"/>
              <xsd:enumeration value="19 CERV"/>
              <xsd:enumeration value="20 JUSTICE"/>
              <xsd:enumeration value="21 ESF and SOCPL"/>
              <xsd:enumeration value="22 EU4HEALTH"/>
              <xsd:enumeration value="23 AMIF, ISF and BMVI"/>
              <xsd:enumeration value="24 EU ANTI-FRAUD"/>
              <xsd:enumeration value="25 CUSTOMS and FISCALIS"/>
              <xsd:enumeration value="26 CCEI"/>
              <xsd:enumeration value="27 PERICLES"/>
              <xsd:enumeration value="28 TECHNICAL SUPPORT (TSI)"/>
              <xsd:enumeration value="29 UCPM"/>
              <xsd:enumeration value="30 HUMANITARIAN AID"/>
              <xsd:enumeration value="31 RELEX"/>
              <xsd:enumeration value="41 EUROPE DIRECT"/>
              <xsd:enumeration value="41 EUROPOL"/>
              <xsd:enumeration value="41 PPPA"/>
            </xsd:restriction>
          </xsd:simpleType>
        </xsd:union>
      </xsd:simpleType>
    </xsd:element>
    <xsd:element name="ProgrCategory" ma:index="2" nillable="true" ma:displayName="Programme Docs Category" ma:description="Needed for MGAs &amp; Programme Documents (MFF 2021-2027)" ma:format="Dropdown" ma:internalName="ProgrCategory" ma:readOnly="false">
      <xsd:simpleType>
        <xsd:union memberTypes="dms:Text">
          <xsd:simpleType>
            <xsd:restriction base="dms:Choice">
              <xsd:enumeration value="1. MGAs"/>
              <xsd:enumeration value="2. Programme guidance"/>
              <xsd:enumeration value="3. Customised reports &amp; forms"/>
              <xsd:enumeration value="5. Other"/>
              <xsd:enumeration value="6. xxx PUBLICATION FOLDERS"/>
              <xsd:enumeration value="7. xxxx DISCARDED DOCUMENTS"/>
              <xsd:enumeration value="7. xxxx DONE DOCUMENTS"/>
              <xsd:enumeration value="7. xxxx ORIGINAL DOCUMENTS"/>
              <xsd:enumeration value="1. PART C HEALTHCHECK"/>
              <xsd:enumeration value="2. MGA Annexes"/>
              <xsd:enumeration value="3. Customised reports &amp; forms (HE ERC)"/>
              <xsd:enumeration value="3. Customised reports &amp; forms (HE MSCA)"/>
              <xsd:enumeration value="3. Customised reports &amp; forms (HE EIC)"/>
              <xsd:enumeration value="3. Customised reports &amp; forms (HE EIT)"/>
              <xsd:enumeration value="3. Customised reports &amp; forms (ASAP)"/>
              <xsd:enumeration value="3. Customised reports &amp; forms (EDIRPA)"/>
              <xsd:enumeration value="3. Customised reports &amp; forms (aCEF-T)"/>
              <xsd:enumeration value="3. Customised reports &amp; forms (bCEF-E)"/>
              <xsd:enumeration value="3. Customised reports &amp; forms (cCEF-DIG)"/>
              <xsd:enumeration value="3. Customised reports &amp; forms (INNOVFUND AUCTIONS)"/>
              <xsd:enumeration value="3. Customised reports &amp; forms (SMP COSME)"/>
              <xsd:enumeration value="3. Customised reports &amp; forms (SMP CONS)"/>
              <xsd:enumeration value="3. Customised reports &amp; forms (SMP COMP)"/>
              <xsd:enumeration value="3. Customised reports &amp; forms (SMP FOOD)"/>
              <xsd:enumeration value="3. Customised reports &amp; forms (SMP STAND)"/>
              <xsd:enumeration value="3. Customised reports &amp; forms (SMP ESS)"/>
              <xsd:enumeration value="3. Customised reports &amp; forms (SMP SURV)"/>
              <xsd:enumeration value="3. Customised reports &amp; forms (ERASMUS JMO Schools Info Package)"/>
              <xsd:enumeration value="3. Customised reports &amp; forms (ECHE Certificate)"/>
              <xsd:enumeration value="3. Customised reports &amp; forms (ESC HUMAID Quality Label)"/>
              <xsd:enumeration value="3. Customised reports &amp; forms (ECHO Partnership Certificate)"/>
              <xsd:enumeration value="3. Customised reports &amp; forms (RELEX TWINNING)"/>
              <xsd:enumeration value="3. Customised reports &amp; forms (RELEX MOBAF)"/>
              <xsd:enumeration value="3. Customised reports &amp; forms (PPPA EACEA)"/>
            </xsd:restriction>
          </xsd:simpleType>
        </xsd:union>
      </xsd:simpleType>
    </xsd:element>
    <xsd:element name="Order1" ma:index="3" nillable="true" ma:displayName="Order" ma:indexed="true" ma:internalName="Order1" ma:readOnly="false" ma:percentage="FALSE">
      <xsd:simpleType>
        <xsd:restriction base="dms:Number"/>
      </xsd:simpleType>
    </xsd:element>
    <xsd:element name="DocComments" ma:index="4" nillable="true" ma:displayName="Doc Comments" ma:description="Needed for all Pages" ma:internalName="DocComments" ma:readOnly="false">
      <xsd:simpleType>
        <xsd:restriction base="dms:Note"/>
      </xsd:simpleType>
    </xsd:element>
    <xsd:element name="DocStatus" ma:index="5" nillable="true" ma:displayName="Doc Status" ma:description="Needed for all except GoFund Archive" ma:format="Dropdown" ma:internalName="DocStatus" ma:readOnly="false">
      <xsd:simpleType>
        <xsd:union memberTypes="dms:Text">
          <xsd:simpleType>
            <xsd:restriction base="dms:Choice">
              <xsd:enumeration value="͏New"/>
              <xsd:enumeration value="New version"/>
              <xsd:enumeration value="Under validation"/>
              <xsd:enumeration value="Ready"/>
              <xsd:enumeration value="Ready for publication"/>
              <xsd:enumeration value="Published"/>
              <xsd:enumeration value="Wait"/>
              <xsd:enumeration value="n/a (backoffice document)"/>
              <xsd:enumeration value="old document"/>
            </xsd:restriction>
          </xsd:simpleType>
        </xsd:union>
      </xsd:simpleType>
    </xsd:element>
    <xsd:element name="DocPublProtocol" ma:index="6" nillable="true" ma:displayName="Doc Publ. Protocol" ma:description="Needed for MGAs &amp; Programme Documents and Business Documents Management View" ma:format="Dropdown" ma:internalName="DocPublProtocol" ma:readOnly="false">
      <xsd:simpleType>
        <xsd:union memberTypes="dms:Text">
          <xsd:simpleType>
            <xsd:restriction base="dms:Choice">
              <xsd:enumeration value="MGA2-1 MGAs"/>
              <xsd:enumeration value="CONTR1-1 Expert contracts"/>
              <xsd:enumeration value="GUID1-1 Business - External guidance"/>
              <xsd:enumeration value="GUID1-2 Business - Internal guidance"/>
              <xsd:enumeration value="GUID2-1 Programme tpl - External guidance"/>
              <xsd:enumeration value="GUID2-2 Programme tpl - Internal guidance"/>
              <xsd:enumeration value="TPL1-1 Business - Decisions"/>
              <xsd:enumeration value="TPL1-2 Business - Reports"/>
              <xsd:enumeration value="TPL1-3 Business - Letters"/>
              <xsd:enumeration value="TPL1-4 Business - Special (Portal)"/>
              <xsd:enumeration value="TPL1-5 Business - Special (GoFund)"/>
              <xsd:enumeration value="TPL2-1 Programme tpl - Call documents"/>
              <xsd:enumeration value="TPL2-2 Programme tpl - Application forms, etc"/>
              <xsd:enumeration value="TPL2-3 Programme tpl - Evaluation forms, etc"/>
              <xsd:enumeration value="TPL2-4 Programme tpl - DoAs"/>
              <xsd:enumeration value="TPL2-5 Programme tpl - Reporting forms, etc"/>
              <xsd:enumeration value="TPL2-6 Programme tpl - Audit templates"/>
              <xsd:enumeration value="TPL2-7 Programme tpl - Other"/>
              <xsd:enumeration value="Portal1-1 Terms &amp; Conditions"/>
              <xsd:enumeration value="Portal1-2 Privacy Statement"/>
              <xsd:enumeration value="Portal1-3 Glossary"/>
              <xsd:enumeration value="Portal1-4 Lists of expert names"/>
            </xsd:restriction>
          </xsd:simpleType>
        </xsd:union>
      </xsd:simpleType>
    </xsd:element>
    <xsd:element name="DocInternalExternal" ma:index="7" nillable="true" ma:displayName="Doc Internal/External" ma:description="Needed for MGAs &amp; Programme Documents and Business Documentation Management View" ma:format="Dropdown" ma:internalName="DocInternalExternal" ma:readOnly="false">
      <xsd:simpleType>
        <xsd:union memberTypes="dms:Text">
          <xsd:simpleType>
            <xsd:restriction base="dms:Choice">
              <xsd:enumeration value="Internal"/>
              <xsd:enumeration value="External"/>
              <xsd:enumeration value="Internal &amp; external"/>
            </xsd:restriction>
          </xsd:simpleType>
        </xsd:union>
      </xsd:simpleType>
    </xsd:element>
    <xsd:element name="ITcomments" ma:index="8" nillable="true" ma:displayName="IT Comments" ma:description="Needed for MGAs &amp; Programme Documents and Business Documents Normal View" ma:internalName="ITcomments" ma:readOnly="false">
      <xsd:simpleType>
        <xsd:restriction base="dms:Note">
          <xsd:maxLength value="255"/>
        </xsd:restriction>
      </xsd:simpleType>
    </xsd:element>
    <xsd:element name="ITstatus" ma:index="9" nillable="true" ma:displayName="IT Status" ma:description="Needed for MGAs &amp; Programme Documents and Business Documents Normal View" ma:format="Dropdown" ma:internalName="ITstatus" ma:readOnly="false">
      <xsd:simpleType>
        <xsd:union memberTypes="dms:Text">
          <xsd:simpleType>
            <xsd:restriction base="dms:Choice">
              <xsd:enumeration value="͏Wait"/>
              <xsd:enumeration value="Ready for IT"/>
              <xsd:enumeration value="IT implementation started"/>
              <xsd:enumeration value="IT implementation finished"/>
              <xsd:enumeration value="New version ready for IT"/>
              <xsd:enumeration value="n/a (no IT implementation)"/>
            </xsd:restriction>
          </xsd:simpleType>
        </xsd:union>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c27a6f-3295-4d53-88f7-dc2956bf7014"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7" ma:displayName="Author"/>
        <xsd:element ref="dcterms:created" minOccurs="0" maxOccurs="1"/>
        <xsd:element ref="dc:identifier" minOccurs="0" maxOccurs="1"/>
        <xsd:element name="contentType" minOccurs="0" maxOccurs="1" type="xsd:string" ma:index="16"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8341C2-F8AE-42C8-999C-3D80EB7F6007}">
  <ds:schemaRefs>
    <ds:schemaRef ds:uri="http://schemas.microsoft.com/office/2006/metadata/properties"/>
    <ds:schemaRef ds:uri="http://purl.org/dc/elements/1.1/"/>
    <ds:schemaRef ds:uri="http://purl.org/dc/terms/"/>
    <ds:schemaRef ds:uri="1e866f1f-0b21-41dc-b9cb-81167115ab19"/>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c1c27a6f-3295-4d53-88f7-dc2956bf7014"/>
  </ds:schemaRefs>
</ds:datastoreItem>
</file>

<file path=customXml/itemProps2.xml><?xml version="1.0" encoding="utf-8"?>
<ds:datastoreItem xmlns:ds="http://schemas.openxmlformats.org/officeDocument/2006/customXml" ds:itemID="{8336F132-1525-4049-861C-8B09A9B8A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66f1f-0b21-41dc-b9cb-81167115ab19"/>
    <ds:schemaRef ds:uri="c1c27a6f-3295-4d53-88f7-dc2956bf7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1A7ED1-4886-40A1-A1FE-0E48BDF458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Consumer Survey</vt:lpstr>
      <vt:lpstr>evaluation_internal</vt:lpstr>
      <vt:lpstr>evaluation_for_external</vt:lpstr>
      <vt:lpstr>'Consumer Survey'!Print_Area</vt:lpstr>
      <vt:lpstr>evaluation_for_external!Print_Area</vt:lpstr>
      <vt:lpstr>evaluation_internal!Print_Area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van Spelde</dc:creator>
  <cp:lastModifiedBy>DIKOVA Beata (ECFIN)</cp:lastModifiedBy>
  <cp:lastPrinted>2020-07-13T09:18:55Z</cp:lastPrinted>
  <dcterms:created xsi:type="dcterms:W3CDTF">2012-06-13T09:17:29Z</dcterms:created>
  <dcterms:modified xsi:type="dcterms:W3CDTF">2025-01-16T12:37:28Z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0x010100A8C0FE432B00E948BF17A18F874DA90A00D7277BFB522B774B92A9E609239131CC</vt:lpwstr>
  </property>
  <property fmtid="{D5CDD505-2E9C-101B-9397-08002B2CF9AE}" pid="3" name="MSIP_Label_6bd9ddd1-4d20-43f6-abfa-fc3c07406f94_Enabled">
    <vt:lpwstr>true</vt:lpwstr>
  </property>
  <property fmtid="{D5CDD505-2E9C-101B-9397-08002B2CF9AE}" pid="4" name="MSIP_Label_6bd9ddd1-4d20-43f6-abfa-fc3c07406f94_SetDate">
    <vt:lpwstr>2024-12-16T14:33:36Z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17ce4001-10b5-4588-aa68-3d1db0aa19ba</vt:lpwstr>
  </property>
  <property fmtid="{D5CDD505-2E9C-101B-9397-08002B2CF9AE}" pid="9" name="MSIP_Label_6bd9ddd1-4d20-43f6-abfa-fc3c07406f94_ContentBits">
    <vt:lpwstr>0</vt:lpwstr>
  </property>
</Properties>
</file>